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66925"/>
  <mc:AlternateContent xmlns:mc="http://schemas.openxmlformats.org/markup-compatibility/2006">
    <mc:Choice Requires="x15">
      <x15ac:absPath xmlns:x15ac="http://schemas.microsoft.com/office/spreadsheetml/2010/11/ac" url="H:\REF-P3\2024\7618-1 (Frostbeihilfe Obst- u. Weinbau 2024)\1 II_Anlagen\"/>
    </mc:Choice>
  </mc:AlternateContent>
  <xr:revisionPtr revIDLastSave="0" documentId="13_ncr:1_{31CE70BA-F3A8-4922-AF15-F9819C04A72B}" xr6:coauthVersionLast="47" xr6:coauthVersionMax="47" xr10:uidLastSave="{00000000-0000-0000-0000-000000000000}"/>
  <workbookProtection workbookAlgorithmName="SHA-512" workbookHashValue="DMFS8tsEgY1kipXDAHXU98u4WLfvkawEkebZ3KBmONNRDC8dZ7C8HLcwjwww68bWEAmN6ugG474J8oV7/K0HMw==" workbookSaltValue="soQ1LNTgiCTv7WuEivJD7Q==" workbookSpinCount="100000" lockStructure="1"/>
  <bookViews>
    <workbookView xWindow="28680" yWindow="-120" windowWidth="51840" windowHeight="21240" activeTab="2" xr2:uid="{132ABE7D-2298-48B1-847A-C0732CC47C7D}"/>
  </bookViews>
  <sheets>
    <sheet name="Deckblatt" sheetId="17" r:id="rId1"/>
    <sheet name="1) Wein-Erntemengenerhebung" sheetId="18" r:id="rId2"/>
    <sheet name="2) Obst-Erntemengenerhebung" sheetId="21" r:id="rId3"/>
    <sheet name="Hilfstabelle 1" sheetId="10" state="hidden" r:id="rId4"/>
    <sheet name="Hilfstabelle 2" sheetId="20"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5" i="21" l="1"/>
  <c r="V5" i="10"/>
  <c r="V6" i="10"/>
  <c r="V7" i="10"/>
  <c r="V8" i="10"/>
  <c r="V9" i="10"/>
  <c r="V10" i="10"/>
  <c r="V11" i="10"/>
  <c r="V12" i="10"/>
  <c r="V13" i="10"/>
  <c r="V14" i="10"/>
  <c r="V15" i="10"/>
  <c r="V16" i="10"/>
  <c r="V17" i="10"/>
  <c r="V18" i="10"/>
  <c r="V20"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1" i="10"/>
  <c r="V53" i="10"/>
  <c r="V54" i="10"/>
  <c r="V55" i="10"/>
  <c r="V56" i="10"/>
  <c r="V57" i="10"/>
  <c r="V58" i="10"/>
  <c r="V59" i="10"/>
  <c r="V60" i="10"/>
  <c r="V61" i="10"/>
  <c r="V62" i="10"/>
  <c r="V63" i="10"/>
  <c r="V64" i="10"/>
  <c r="V65" i="10"/>
  <c r="V4" i="10"/>
  <c r="T4" i="10"/>
  <c r="U5" i="10"/>
  <c r="U6" i="10"/>
  <c r="U7" i="10"/>
  <c r="U8" i="10"/>
  <c r="U9" i="10"/>
  <c r="U10" i="10"/>
  <c r="U11" i="10"/>
  <c r="U12" i="10"/>
  <c r="U13" i="10"/>
  <c r="U14" i="10"/>
  <c r="U15" i="10"/>
  <c r="U16" i="10"/>
  <c r="U17" i="10"/>
  <c r="U18" i="10"/>
  <c r="U20"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1" i="10"/>
  <c r="U53" i="10"/>
  <c r="U54" i="10"/>
  <c r="U55" i="10"/>
  <c r="U56" i="10"/>
  <c r="U57" i="10"/>
  <c r="U58" i="10"/>
  <c r="U59" i="10"/>
  <c r="U60" i="10"/>
  <c r="U61" i="10"/>
  <c r="U62" i="10"/>
  <c r="U63" i="10"/>
  <c r="U64" i="10"/>
  <c r="U65" i="10"/>
  <c r="U4" i="10"/>
  <c r="Q25" i="21"/>
  <c r="R25" i="21"/>
  <c r="S25" i="21"/>
  <c r="T25" i="21"/>
  <c r="U25" i="21"/>
  <c r="V25" i="21"/>
  <c r="W25" i="21"/>
  <c r="X25" i="21"/>
  <c r="Y25" i="21"/>
  <c r="Z25" i="21"/>
  <c r="Q24" i="21"/>
  <c r="R24" i="21"/>
  <c r="S24" i="21"/>
  <c r="T24" i="21"/>
  <c r="U24" i="21"/>
  <c r="V24" i="21"/>
  <c r="W24" i="21"/>
  <c r="X24" i="21"/>
  <c r="Y24" i="21"/>
  <c r="Z24" i="21"/>
  <c r="Q23" i="21"/>
  <c r="R23" i="21"/>
  <c r="S23" i="21"/>
  <c r="T23" i="21"/>
  <c r="U23" i="21"/>
  <c r="V23" i="21"/>
  <c r="W23" i="21"/>
  <c r="X23" i="21"/>
  <c r="Y23" i="21"/>
  <c r="Z23" i="21"/>
  <c r="Q22" i="21"/>
  <c r="R22" i="21"/>
  <c r="S22" i="21"/>
  <c r="T22" i="21"/>
  <c r="U22" i="21"/>
  <c r="V22" i="21"/>
  <c r="W22" i="21"/>
  <c r="X22" i="21"/>
  <c r="Y22" i="21"/>
  <c r="Z22" i="21"/>
  <c r="Q21" i="21"/>
  <c r="R21" i="21"/>
  <c r="S21" i="21"/>
  <c r="T21" i="21"/>
  <c r="U21" i="21"/>
  <c r="V21" i="21"/>
  <c r="W21" i="21"/>
  <c r="X21" i="21"/>
  <c r="Y21" i="21"/>
  <c r="Z21" i="21"/>
  <c r="Q19" i="21"/>
  <c r="R19" i="21"/>
  <c r="S19" i="21"/>
  <c r="T19" i="21"/>
  <c r="U19" i="21"/>
  <c r="V19" i="21"/>
  <c r="W19" i="21"/>
  <c r="X19" i="21"/>
  <c r="Y19" i="21"/>
  <c r="Z19" i="21"/>
  <c r="Q18" i="21"/>
  <c r="R18" i="21"/>
  <c r="S18" i="21"/>
  <c r="T18" i="21"/>
  <c r="U18" i="21"/>
  <c r="V18" i="21"/>
  <c r="W18" i="21"/>
  <c r="X18" i="21"/>
  <c r="Y18" i="21"/>
  <c r="Z18" i="21"/>
  <c r="Q17" i="21"/>
  <c r="R17" i="21"/>
  <c r="S17" i="21"/>
  <c r="T17" i="21"/>
  <c r="U17" i="21"/>
  <c r="V17" i="21"/>
  <c r="W17" i="21"/>
  <c r="X17" i="21"/>
  <c r="Y17" i="21"/>
  <c r="Z17" i="21"/>
  <c r="Q14" i="21"/>
  <c r="R14" i="21"/>
  <c r="S14" i="21"/>
  <c r="T14" i="21"/>
  <c r="U14" i="21"/>
  <c r="V14" i="21"/>
  <c r="W14" i="21"/>
  <c r="X14" i="21"/>
  <c r="Y14" i="21"/>
  <c r="Z14" i="21"/>
  <c r="Q13" i="21"/>
  <c r="Q15" i="21" s="1"/>
  <c r="R13" i="21"/>
  <c r="R15" i="21" s="1"/>
  <c r="S13" i="21"/>
  <c r="S15" i="21" s="1"/>
  <c r="T13" i="21"/>
  <c r="T15" i="21" s="1"/>
  <c r="U13" i="21"/>
  <c r="V13" i="21"/>
  <c r="W13" i="21"/>
  <c r="X13" i="21"/>
  <c r="X15" i="21" s="1"/>
  <c r="Y13" i="21"/>
  <c r="Y15" i="21" s="1"/>
  <c r="Z13" i="21"/>
  <c r="Z15" i="21" s="1"/>
  <c r="E8" i="18"/>
  <c r="E7" i="18"/>
  <c r="F10" i="18"/>
  <c r="E6" i="18"/>
  <c r="E9" i="18"/>
  <c r="E10" i="18"/>
  <c r="E11" i="18"/>
  <c r="D37" i="17"/>
  <c r="C37" i="17"/>
  <c r="D36" i="17"/>
  <c r="C36" i="17"/>
  <c r="C21" i="21"/>
  <c r="O4" i="10"/>
  <c r="N4" i="10"/>
  <c r="D16" i="17"/>
  <c r="D14" i="17"/>
  <c r="W15" i="21" l="1"/>
  <c r="V15" i="21"/>
  <c r="U15" i="21"/>
  <c r="X16" i="21"/>
  <c r="X20" i="21" s="1"/>
  <c r="W16" i="21"/>
  <c r="W20" i="21" s="1"/>
  <c r="T16" i="21"/>
  <c r="T20" i="21" s="1"/>
  <c r="V16" i="21"/>
  <c r="V20" i="21" s="1"/>
  <c r="U16" i="21"/>
  <c r="U20" i="21" s="1"/>
  <c r="S16" i="21"/>
  <c r="S20" i="21" s="1"/>
  <c r="Z16" i="21"/>
  <c r="Z20" i="21" s="1"/>
  <c r="R16" i="21"/>
  <c r="R20" i="21" s="1"/>
  <c r="Y16" i="21"/>
  <c r="Y20" i="21" s="1"/>
  <c r="Q16" i="21"/>
  <c r="Q20" i="21" s="1"/>
  <c r="E16" i="18"/>
  <c r="G10" i="18"/>
  <c r="M10" i="18" s="1"/>
  <c r="C38" i="17"/>
  <c r="D38" i="17"/>
  <c r="C13" i="21"/>
  <c r="D13" i="21"/>
  <c r="N28" i="10"/>
  <c r="N32" i="10"/>
  <c r="N31" i="10"/>
  <c r="T65" i="10"/>
  <c r="T34" i="10"/>
  <c r="T63" i="10"/>
  <c r="T64" i="10"/>
  <c r="T32" i="10"/>
  <c r="T33" i="10"/>
  <c r="T31" i="10"/>
  <c r="Q64" i="10"/>
  <c r="P64" i="10"/>
  <c r="R64" i="10"/>
  <c r="S64" i="10"/>
  <c r="P63" i="10"/>
  <c r="Q63" i="10"/>
  <c r="R63" i="10"/>
  <c r="S63" i="10"/>
  <c r="O63" i="10"/>
  <c r="O64" i="10"/>
  <c r="P32" i="10"/>
  <c r="Q32" i="10"/>
  <c r="R32" i="10"/>
  <c r="S32" i="10"/>
  <c r="P33" i="10"/>
  <c r="Q33" i="10"/>
  <c r="R33" i="10"/>
  <c r="S33" i="10"/>
  <c r="O32" i="10"/>
  <c r="O33" i="10"/>
  <c r="N5" i="10" l="1"/>
  <c r="N6" i="10"/>
  <c r="N7" i="10"/>
  <c r="N8" i="10"/>
  <c r="N9" i="10"/>
  <c r="N10" i="10"/>
  <c r="N11" i="10"/>
  <c r="N12" i="10"/>
  <c r="N13" i="10"/>
  <c r="N14" i="10"/>
  <c r="N15" i="10"/>
  <c r="N16" i="10"/>
  <c r="N17" i="10"/>
  <c r="N18" i="10"/>
  <c r="N19" i="10"/>
  <c r="N20" i="10"/>
  <c r="N21" i="10"/>
  <c r="N22" i="10"/>
  <c r="N23" i="10"/>
  <c r="N24" i="10"/>
  <c r="N25" i="10"/>
  <c r="N26" i="10"/>
  <c r="N27" i="10"/>
  <c r="N29" i="10"/>
  <c r="N30"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G22" i="10"/>
  <c r="G17" i="10"/>
  <c r="G15" i="10"/>
  <c r="G19" i="21"/>
  <c r="H19" i="21"/>
  <c r="I19" i="21"/>
  <c r="J19" i="21"/>
  <c r="K19" i="21"/>
  <c r="L19" i="21"/>
  <c r="M19" i="21"/>
  <c r="N19" i="21"/>
  <c r="O19" i="21"/>
  <c r="AA19" i="21"/>
  <c r="D17" i="21"/>
  <c r="E17" i="21"/>
  <c r="F17" i="21"/>
  <c r="G17" i="21"/>
  <c r="H17" i="21"/>
  <c r="I17" i="21"/>
  <c r="J17" i="21"/>
  <c r="K17" i="21"/>
  <c r="L17" i="21"/>
  <c r="M17" i="21"/>
  <c r="N17" i="21"/>
  <c r="O17" i="21"/>
  <c r="P17" i="21"/>
  <c r="AA17" i="21"/>
  <c r="C17" i="21"/>
  <c r="C14" i="21"/>
  <c r="C15" i="21" s="1"/>
  <c r="E21" i="21"/>
  <c r="D21" i="21"/>
  <c r="D25" i="21"/>
  <c r="E25" i="21"/>
  <c r="F25" i="21"/>
  <c r="G25" i="21"/>
  <c r="H25" i="21"/>
  <c r="I25" i="21"/>
  <c r="J25" i="21"/>
  <c r="K25" i="21"/>
  <c r="L25" i="21"/>
  <c r="M25" i="21"/>
  <c r="N25" i="21"/>
  <c r="O25" i="21"/>
  <c r="P25" i="21"/>
  <c r="AA25" i="21"/>
  <c r="D24" i="21"/>
  <c r="E24" i="21"/>
  <c r="F24" i="21"/>
  <c r="G24" i="21"/>
  <c r="H24" i="21"/>
  <c r="I24" i="21"/>
  <c r="J24" i="21"/>
  <c r="K24" i="21"/>
  <c r="L24" i="21"/>
  <c r="M24" i="21"/>
  <c r="N24" i="21"/>
  <c r="O24" i="21"/>
  <c r="P24" i="21"/>
  <c r="AA24" i="21"/>
  <c r="D23" i="21"/>
  <c r="E23" i="21"/>
  <c r="F23" i="21"/>
  <c r="G23" i="21"/>
  <c r="H23" i="21"/>
  <c r="I23" i="21"/>
  <c r="J23" i="21"/>
  <c r="K23" i="21"/>
  <c r="L23" i="21"/>
  <c r="M23" i="21"/>
  <c r="N23" i="21"/>
  <c r="O23" i="21"/>
  <c r="P23" i="21"/>
  <c r="AA23" i="21"/>
  <c r="D22" i="21"/>
  <c r="E22" i="21"/>
  <c r="F22" i="21"/>
  <c r="G22" i="21"/>
  <c r="H22" i="21"/>
  <c r="I22" i="21"/>
  <c r="J22" i="21"/>
  <c r="K22" i="21"/>
  <c r="L22" i="21"/>
  <c r="M22" i="21"/>
  <c r="N22" i="21"/>
  <c r="O22" i="21"/>
  <c r="P22" i="21"/>
  <c r="AA22" i="21"/>
  <c r="F21" i="21"/>
  <c r="G21" i="21"/>
  <c r="H21" i="21"/>
  <c r="I21" i="21"/>
  <c r="J21" i="21"/>
  <c r="K21" i="21"/>
  <c r="L21" i="21"/>
  <c r="M21" i="21"/>
  <c r="N21" i="21"/>
  <c r="O21" i="21"/>
  <c r="P21" i="21"/>
  <c r="AA21" i="21"/>
  <c r="C25" i="21"/>
  <c r="C24" i="21"/>
  <c r="C23" i="21"/>
  <c r="C22" i="21"/>
  <c r="D14" i="21"/>
  <c r="E14" i="21"/>
  <c r="F14" i="21"/>
  <c r="G14" i="21"/>
  <c r="H14" i="21"/>
  <c r="I14" i="21"/>
  <c r="J14" i="21"/>
  <c r="K14" i="21"/>
  <c r="L14" i="21"/>
  <c r="M14" i="21"/>
  <c r="N14" i="21"/>
  <c r="O14" i="21"/>
  <c r="P14" i="21"/>
  <c r="AA14" i="21"/>
  <c r="D18" i="21"/>
  <c r="D16" i="21" s="1"/>
  <c r="E18" i="21"/>
  <c r="F18" i="21"/>
  <c r="G18" i="21"/>
  <c r="H18" i="21"/>
  <c r="I18" i="21"/>
  <c r="J18" i="21"/>
  <c r="K18" i="21"/>
  <c r="L18" i="21"/>
  <c r="M18" i="21"/>
  <c r="N18" i="21"/>
  <c r="O18" i="21"/>
  <c r="P18" i="21"/>
  <c r="AA18" i="21"/>
  <c r="C18" i="21"/>
  <c r="C16" i="21" s="1"/>
  <c r="E13" i="21"/>
  <c r="F13" i="21"/>
  <c r="G13" i="21"/>
  <c r="H13" i="21"/>
  <c r="I13" i="21"/>
  <c r="J13" i="21"/>
  <c r="K13" i="21"/>
  <c r="L13" i="21"/>
  <c r="M13" i="21"/>
  <c r="N13" i="21"/>
  <c r="O13" i="21"/>
  <c r="P13" i="21"/>
  <c r="AA13" i="21"/>
  <c r="AB23" i="21" l="1"/>
  <c r="AD23" i="21" s="1"/>
  <c r="AB25" i="21"/>
  <c r="AD25" i="21" s="1"/>
  <c r="AB24" i="21"/>
  <c r="AD24" i="21" s="1"/>
  <c r="AB21" i="21"/>
  <c r="AD21" i="21" s="1"/>
  <c r="AB22" i="21"/>
  <c r="AD22" i="21" s="1"/>
  <c r="M16" i="21"/>
  <c r="E16" i="21"/>
  <c r="L16" i="21"/>
  <c r="C19" i="21"/>
  <c r="N16" i="21"/>
  <c r="K16" i="21"/>
  <c r="F16" i="21"/>
  <c r="AA16" i="21"/>
  <c r="I16" i="21"/>
  <c r="J16" i="21"/>
  <c r="P16" i="21"/>
  <c r="H16" i="21"/>
  <c r="O16" i="21"/>
  <c r="G16" i="21"/>
  <c r="J4" i="21"/>
  <c r="M15" i="21"/>
  <c r="E15" i="21"/>
  <c r="P15" i="21"/>
  <c r="O15" i="21"/>
  <c r="G15" i="21"/>
  <c r="N15" i="21"/>
  <c r="F15" i="21"/>
  <c r="AA15" i="21"/>
  <c r="I15" i="21"/>
  <c r="L15" i="21"/>
  <c r="D15" i="21"/>
  <c r="H15" i="21"/>
  <c r="K15" i="21"/>
  <c r="J15" i="21"/>
  <c r="P19" i="21"/>
  <c r="AB27" i="21" l="1"/>
  <c r="AD26" i="21"/>
  <c r="AB26" i="21" s="1"/>
  <c r="F19" i="21"/>
  <c r="E19" i="21"/>
  <c r="D20" i="21"/>
  <c r="D19" i="21"/>
  <c r="C20" i="21"/>
  <c r="G20" i="21"/>
  <c r="O20" i="21"/>
  <c r="L20" i="21"/>
  <c r="M20" i="21"/>
  <c r="I20" i="21"/>
  <c r="AA20" i="21"/>
  <c r="J20" i="21"/>
  <c r="K20" i="21"/>
  <c r="P20" i="21"/>
  <c r="H20" i="21"/>
  <c r="N20" i="21"/>
  <c r="S47" i="10"/>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5" i="10"/>
  <c r="S36" i="10"/>
  <c r="S37" i="10"/>
  <c r="S38" i="10"/>
  <c r="S39" i="10"/>
  <c r="S40" i="10"/>
  <c r="S41" i="10"/>
  <c r="S42" i="10"/>
  <c r="S43" i="10"/>
  <c r="S44" i="10"/>
  <c r="S45" i="10"/>
  <c r="S46" i="10"/>
  <c r="S48" i="10"/>
  <c r="S49" i="10"/>
  <c r="S50" i="10"/>
  <c r="S51" i="10"/>
  <c r="S52" i="10"/>
  <c r="S53" i="10"/>
  <c r="S54" i="10"/>
  <c r="S55" i="10"/>
  <c r="S56" i="10"/>
  <c r="S57" i="10"/>
  <c r="S58" i="10"/>
  <c r="S59" i="10"/>
  <c r="S60" i="10"/>
  <c r="S61" i="10"/>
  <c r="S62" i="10"/>
  <c r="R5" i="10"/>
  <c r="R6" i="10"/>
  <c r="R7" i="10"/>
  <c r="R8" i="10"/>
  <c r="R9" i="10"/>
  <c r="R10" i="10"/>
  <c r="R11" i="10"/>
  <c r="R12" i="10"/>
  <c r="R13" i="10"/>
  <c r="R14" i="10"/>
  <c r="R15" i="10"/>
  <c r="R16" i="10"/>
  <c r="R17" i="10"/>
  <c r="R18" i="10"/>
  <c r="R19" i="10"/>
  <c r="R20" i="10"/>
  <c r="R21" i="10"/>
  <c r="R22" i="10"/>
  <c r="R23" i="10"/>
  <c r="R24" i="10"/>
  <c r="R25" i="10"/>
  <c r="R26" i="10"/>
  <c r="R27" i="10"/>
  <c r="R28" i="10"/>
  <c r="R29" i="10"/>
  <c r="R30" i="10"/>
  <c r="R31"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35" i="10"/>
  <c r="Q36" i="10"/>
  <c r="Q37" i="10"/>
  <c r="Q38" i="10"/>
  <c r="Q39" i="10"/>
  <c r="Q40" i="10"/>
  <c r="Q41" i="10"/>
  <c r="Q42" i="10"/>
  <c r="Q43" i="10"/>
  <c r="Q44" i="10"/>
  <c r="Q45" i="10"/>
  <c r="Q46" i="10"/>
  <c r="Q47" i="10"/>
  <c r="Q48" i="10"/>
  <c r="Q49" i="10"/>
  <c r="Q50" i="10"/>
  <c r="U50" i="10" s="1"/>
  <c r="Q51" i="10"/>
  <c r="Q52" i="10"/>
  <c r="Q53" i="10"/>
  <c r="Q54" i="10"/>
  <c r="Q55" i="10"/>
  <c r="Q56" i="10"/>
  <c r="Q57" i="10"/>
  <c r="Q58" i="10"/>
  <c r="Q59" i="10"/>
  <c r="Q60" i="10"/>
  <c r="Q61" i="10"/>
  <c r="Q62"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O8" i="10"/>
  <c r="O5" i="10"/>
  <c r="O6" i="10"/>
  <c r="O7" i="10"/>
  <c r="O9" i="10"/>
  <c r="O10" i="10"/>
  <c r="O11" i="10"/>
  <c r="O12" i="10"/>
  <c r="O13" i="10"/>
  <c r="O14" i="10"/>
  <c r="O15" i="10"/>
  <c r="O16" i="10"/>
  <c r="O17" i="10"/>
  <c r="O18" i="10"/>
  <c r="O19" i="10"/>
  <c r="O20" i="10"/>
  <c r="O21" i="10"/>
  <c r="O22" i="10"/>
  <c r="O23" i="10"/>
  <c r="O24" i="10"/>
  <c r="O25" i="10"/>
  <c r="O26" i="10"/>
  <c r="O27" i="10"/>
  <c r="O28" i="10"/>
  <c r="O29" i="10"/>
  <c r="O30" i="10"/>
  <c r="O31" i="10"/>
  <c r="S4" i="10"/>
  <c r="R4" i="10"/>
  <c r="Q4" i="10"/>
  <c r="P4" i="10"/>
  <c r="F7" i="18"/>
  <c r="G7" i="18" s="1"/>
  <c r="F8" i="18"/>
  <c r="G8" i="18" s="1"/>
  <c r="M8" i="18" s="1"/>
  <c r="F9" i="18"/>
  <c r="G9" i="18" s="1"/>
  <c r="M9" i="18" s="1"/>
  <c r="F11" i="18"/>
  <c r="G11" i="18" s="1"/>
  <c r="G69" i="10"/>
  <c r="F6" i="18" s="1"/>
  <c r="G6" i="18" s="1"/>
  <c r="G59" i="10"/>
  <c r="G28" i="10"/>
  <c r="H62" i="10"/>
  <c r="G62" i="10"/>
  <c r="H61" i="10"/>
  <c r="G61" i="10"/>
  <c r="H60" i="10"/>
  <c r="G60" i="10"/>
  <c r="H58" i="10"/>
  <c r="G58" i="10"/>
  <c r="H57" i="10"/>
  <c r="G57" i="10"/>
  <c r="H56" i="10"/>
  <c r="G56" i="10"/>
  <c r="H55" i="10"/>
  <c r="G55" i="10"/>
  <c r="H54" i="10"/>
  <c r="G54" i="10"/>
  <c r="H53" i="10"/>
  <c r="G53" i="10"/>
  <c r="H52" i="10"/>
  <c r="G52" i="10"/>
  <c r="H51" i="10"/>
  <c r="G51" i="10"/>
  <c r="H50" i="10"/>
  <c r="G50" i="10"/>
  <c r="H49" i="10"/>
  <c r="G49" i="10"/>
  <c r="H48" i="10"/>
  <c r="G48" i="10"/>
  <c r="H47" i="10"/>
  <c r="G47" i="10"/>
  <c r="H46" i="10"/>
  <c r="G46" i="10"/>
  <c r="H45" i="10"/>
  <c r="G45" i="10"/>
  <c r="H44" i="10"/>
  <c r="G44" i="10"/>
  <c r="H43" i="10"/>
  <c r="G43" i="10"/>
  <c r="H42" i="10"/>
  <c r="G42" i="10"/>
  <c r="H41" i="10"/>
  <c r="G41" i="10"/>
  <c r="H40" i="10"/>
  <c r="G40" i="10"/>
  <c r="H39" i="10"/>
  <c r="G39" i="10"/>
  <c r="H38" i="10"/>
  <c r="G38" i="10"/>
  <c r="H37" i="10"/>
  <c r="G37" i="10"/>
  <c r="H36" i="10"/>
  <c r="G36" i="10"/>
  <c r="H35" i="10"/>
  <c r="G35" i="10"/>
  <c r="H31" i="10"/>
  <c r="G31" i="10"/>
  <c r="H30" i="10"/>
  <c r="G30" i="10"/>
  <c r="H29" i="10"/>
  <c r="G29" i="10"/>
  <c r="H27" i="10"/>
  <c r="G27" i="10"/>
  <c r="H26" i="10"/>
  <c r="G26" i="10"/>
  <c r="H25" i="10"/>
  <c r="G25" i="10"/>
  <c r="H24" i="10"/>
  <c r="G24" i="10"/>
  <c r="H23" i="10"/>
  <c r="G23" i="10"/>
  <c r="H22" i="10"/>
  <c r="H21" i="10"/>
  <c r="G21" i="10"/>
  <c r="H20" i="10"/>
  <c r="G20" i="10"/>
  <c r="H19" i="10"/>
  <c r="G19" i="10"/>
  <c r="H18" i="10"/>
  <c r="G18" i="10"/>
  <c r="H17" i="10"/>
  <c r="H16" i="10"/>
  <c r="G16" i="10"/>
  <c r="H15" i="10"/>
  <c r="H14" i="10"/>
  <c r="G14" i="10"/>
  <c r="H13" i="10"/>
  <c r="G13" i="10"/>
  <c r="H12" i="10"/>
  <c r="G12" i="10"/>
  <c r="H11" i="10"/>
  <c r="G11" i="10"/>
  <c r="H10" i="10"/>
  <c r="G10" i="10"/>
  <c r="H9" i="10"/>
  <c r="G9" i="10"/>
  <c r="H8" i="10"/>
  <c r="G8" i="10"/>
  <c r="H7" i="10"/>
  <c r="G7" i="10"/>
  <c r="H6" i="10"/>
  <c r="G6" i="10"/>
  <c r="H5" i="10"/>
  <c r="G5" i="10"/>
  <c r="H4" i="10"/>
  <c r="G4" i="10"/>
  <c r="U52" i="10" l="1"/>
  <c r="V52" i="10"/>
  <c r="V50" i="10"/>
  <c r="U21" i="10"/>
  <c r="V21" i="10"/>
  <c r="U19" i="10"/>
  <c r="V19" i="10"/>
  <c r="C21" i="17"/>
  <c r="I38" i="17" s="1"/>
  <c r="AB19" i="21"/>
  <c r="C26" i="17" s="1"/>
  <c r="M7" i="18"/>
  <c r="M6" i="18"/>
  <c r="H6" i="18"/>
  <c r="N6" i="18" s="1"/>
  <c r="H11" i="18"/>
  <c r="N11" i="18" s="1"/>
  <c r="M11" i="18"/>
  <c r="T58" i="10"/>
  <c r="T50" i="10"/>
  <c r="T42" i="10"/>
  <c r="T9" i="10"/>
  <c r="T40" i="10"/>
  <c r="T25" i="10"/>
  <c r="T17" i="10"/>
  <c r="T47" i="10"/>
  <c r="T29" i="10"/>
  <c r="T21" i="10"/>
  <c r="T13" i="10"/>
  <c r="T39" i="10"/>
  <c r="T24" i="10"/>
  <c r="T23" i="10"/>
  <c r="T15" i="10"/>
  <c r="T6" i="10"/>
  <c r="T57" i="10"/>
  <c r="T49" i="10"/>
  <c r="T41" i="10"/>
  <c r="T56" i="10"/>
  <c r="T48" i="10"/>
  <c r="T30" i="10"/>
  <c r="T22" i="10"/>
  <c r="T14" i="10"/>
  <c r="T5" i="10"/>
  <c r="T7" i="10"/>
  <c r="T28" i="10"/>
  <c r="T20" i="10"/>
  <c r="T12" i="10"/>
  <c r="T62" i="10"/>
  <c r="T54" i="10"/>
  <c r="T46" i="10"/>
  <c r="T38" i="10"/>
  <c r="T61" i="10"/>
  <c r="T53" i="10"/>
  <c r="T45" i="10"/>
  <c r="T37" i="10"/>
  <c r="T55" i="10"/>
  <c r="T16" i="10"/>
  <c r="T8" i="10"/>
  <c r="T27" i="10"/>
  <c r="T19" i="10"/>
  <c r="T11" i="10"/>
  <c r="T60" i="10"/>
  <c r="T52" i="10"/>
  <c r="T44" i="10"/>
  <c r="T36" i="10"/>
  <c r="T26" i="10"/>
  <c r="T18" i="10"/>
  <c r="T10" i="10"/>
  <c r="T59" i="10"/>
  <c r="T51" i="10"/>
  <c r="T43" i="10"/>
  <c r="T35" i="10"/>
  <c r="F20" i="21"/>
  <c r="E20" i="21"/>
  <c r="H10" i="18"/>
  <c r="N10" i="18" s="1"/>
  <c r="H7" i="18"/>
  <c r="H9" i="18"/>
  <c r="N9" i="18" s="1"/>
  <c r="H8" i="18"/>
  <c r="N8" i="18" s="1"/>
  <c r="G13" i="18" l="1"/>
  <c r="E15" i="18" s="1"/>
  <c r="M12" i="18"/>
  <c r="G12" i="18" s="1"/>
  <c r="B22" i="17"/>
  <c r="H39" i="17" s="1"/>
  <c r="N7" i="18"/>
  <c r="H13" i="18" s="1"/>
  <c r="D34" i="17"/>
  <c r="D35" i="17" s="1"/>
  <c r="D39" i="17" s="1"/>
  <c r="D41" i="17" s="1"/>
  <c r="AB20" i="21"/>
  <c r="M14" i="18" l="1"/>
  <c r="N12" i="18"/>
  <c r="H12" i="18" s="1"/>
  <c r="E17" i="18"/>
  <c r="B26" i="17" s="1"/>
  <c r="D26" i="17" s="1"/>
  <c r="I19" i="17" s="1"/>
  <c r="C22" i="17"/>
  <c r="I39" i="17" s="1"/>
  <c r="M15" i="18" l="1"/>
  <c r="B21" i="17"/>
  <c r="D21" i="17"/>
  <c r="G26" i="17"/>
  <c r="C34" i="17"/>
  <c r="C35" i="17" s="1"/>
  <c r="C39" i="17" s="1"/>
  <c r="C41" i="17" s="1"/>
  <c r="E41" i="17" s="1"/>
  <c r="D22" i="17"/>
  <c r="J39" i="17"/>
  <c r="H38" i="17" l="1"/>
  <c r="J38" i="17" s="1"/>
  <c r="J40" i="17" s="1"/>
  <c r="G2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tc={156CCE0F-3C74-4915-AACE-9E458F4FCBB3}</author>
    <author>tc={29035BAE-C9E2-4499-AB99-A49C05CE6673}</author>
  </authors>
  <commentList>
    <comment ref="H28" authorId="0" shapeId="0" xr:uid="{156CCE0F-3C74-4915-AACE-9E458F4FCBB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Selbstpflücke verursacht keine Erntekosten.</t>
      </text>
    </comment>
    <comment ref="H59" authorId="1" shapeId="0" xr:uid="{29035BAE-C9E2-4499-AB99-A49C05CE667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Selbstpflücke verursacht keine Erntekosten.</t>
      </text>
    </comment>
  </commentList>
</comments>
</file>

<file path=xl/sharedStrings.xml><?xml version="1.0" encoding="utf-8"?>
<sst xmlns="http://schemas.openxmlformats.org/spreadsheetml/2006/main" count="371" uniqueCount="271">
  <si>
    <t>Pfirsich</t>
  </si>
  <si>
    <t>Aprikose</t>
  </si>
  <si>
    <t>Stachelbeere</t>
  </si>
  <si>
    <t>Kiwi</t>
  </si>
  <si>
    <t xml:space="preserve">Äpfel </t>
  </si>
  <si>
    <t xml:space="preserve">Kulturarten </t>
  </si>
  <si>
    <t>öko Pfirsich</t>
  </si>
  <si>
    <t>öko Aprikose</t>
  </si>
  <si>
    <t>öko Stachelbeere</t>
  </si>
  <si>
    <t>öko Kiwi</t>
  </si>
  <si>
    <t>Jahr</t>
  </si>
  <si>
    <t>Name:</t>
  </si>
  <si>
    <t>Vorname:</t>
  </si>
  <si>
    <t>Straße:</t>
  </si>
  <si>
    <t>PLZ:</t>
  </si>
  <si>
    <t>Ort:</t>
  </si>
  <si>
    <t>Betriebsnummer:</t>
  </si>
  <si>
    <t>im Schadjahr 2024:</t>
  </si>
  <si>
    <t>im Basiszeitraum:</t>
  </si>
  <si>
    <t>Erzeugerpreis 
[EUR/dt]</t>
  </si>
  <si>
    <t>Kultur</t>
  </si>
  <si>
    <t>Schadjahr 2024</t>
  </si>
  <si>
    <t>Vermarktungs-kosten [EUR/ha]</t>
  </si>
  <si>
    <t>Gesamterlös im Schadensjahr gegenüber des Basisizeitraumes um mehr als 30 % geringer?</t>
  </si>
  <si>
    <t>Summe:</t>
  </si>
  <si>
    <t>Für die Bewilligungsbehörde:</t>
  </si>
  <si>
    <t>berechnete Beihilfe:</t>
  </si>
  <si>
    <t>plausibilisierte sonstige Zahlungen:</t>
  </si>
  <si>
    <t>plausibiliserte Versicherungsleistungen:</t>
  </si>
  <si>
    <t>vom Bund festgelegte Beihilfequote:</t>
  </si>
  <si>
    <t>Auszahlungsbetrag:</t>
  </si>
  <si>
    <t>Summe aus berechnete Beihilfe, plausib. Versicherungsleistungen u. plausib. Sonstigen Zahlungen:</t>
  </si>
  <si>
    <t>Berechnung des Auszahlungsbetrages</t>
  </si>
  <si>
    <t>Äpfel (Tafelware)</t>
  </si>
  <si>
    <t>Äpfel (Mostobst)</t>
  </si>
  <si>
    <t>Birnen (Tafelware)</t>
  </si>
  <si>
    <t>Birnen (Mostobst)</t>
  </si>
  <si>
    <t>Birnen (Brennbirnen)</t>
  </si>
  <si>
    <t>Sauerkischen (Frischobst)</t>
  </si>
  <si>
    <t>Sauerkischen (Saftware)</t>
  </si>
  <si>
    <t>Süßkirsche (Frischobst)</t>
  </si>
  <si>
    <t>Süßkirsche (Brennkirsche)</t>
  </si>
  <si>
    <t>Zwetschge (Frischobst)</t>
  </si>
  <si>
    <t>Zwetschge (Industrieobst)</t>
  </si>
  <si>
    <t>Mirabelle (Frischobst)</t>
  </si>
  <si>
    <t>Himbeere (Frischmarkt)</t>
  </si>
  <si>
    <t>Brombeere (Frischmarkt)</t>
  </si>
  <si>
    <t>Heidelbeere (Frischmarkt)</t>
  </si>
  <si>
    <t>Erdbeer Freiland (Industrie)</t>
  </si>
  <si>
    <t>Walnüsse</t>
  </si>
  <si>
    <t>Tafeltrauben</t>
  </si>
  <si>
    <t>öko Äpfel (Tafelobst)</t>
  </si>
  <si>
    <t>öko Äpfel (Mostobst)</t>
  </si>
  <si>
    <t>öko Birnen (Tafelware)</t>
  </si>
  <si>
    <t>öko Birnen (Mostobst)</t>
  </si>
  <si>
    <t>öko Birnen (Brennbirnen)</t>
  </si>
  <si>
    <t>öko Sauerkischen (Frischobst)</t>
  </si>
  <si>
    <t>öko Sauerkirschen (Saftware)</t>
  </si>
  <si>
    <t>öko Süßkirsche (Frischobst)</t>
  </si>
  <si>
    <t>öko Süßkirsche (Brennkirsche)</t>
  </si>
  <si>
    <t>öko Zwetschge (Frischobst)</t>
  </si>
  <si>
    <t>öko Zwetschge (Industrieobst)</t>
  </si>
  <si>
    <t>öko Mirabelle (Frischobst)</t>
  </si>
  <si>
    <t>öko Himbeere (Frischmarkt)</t>
  </si>
  <si>
    <t>öko Brombeere (Frischmarkt)</t>
  </si>
  <si>
    <t>öko Heidelbeere (Frischmarkt)</t>
  </si>
  <si>
    <t>öko Erdbeer Freiland (Industrie)</t>
  </si>
  <si>
    <t>öko Walnüsse</t>
  </si>
  <si>
    <t>öko Tafeltrauben</t>
  </si>
  <si>
    <t>Erntemengenerhebung Wein für die Jahre 2019-2024</t>
  </si>
  <si>
    <t>Wein</t>
  </si>
  <si>
    <t>Durchschnittsertrag
[dt/ha]</t>
  </si>
  <si>
    <t>Erzeugerpreise, Erträge u. Vermarktungskosten im Weinbau</t>
  </si>
  <si>
    <t>Erzeugerpreise, Erträge u. Vermarktungskosten der einzelnen Kulturen im Obstbau</t>
  </si>
  <si>
    <t>Erdbeer Freiland (Marktanbau)</t>
  </si>
  <si>
    <t>Erdbeer Freiland (Selbstpflücke)</t>
  </si>
  <si>
    <t>öko Erdbeer Freiland (Marktanbau)</t>
  </si>
  <si>
    <t>öko Erdbeer Freiland (Selbstpflücke)</t>
  </si>
  <si>
    <t>Durchschnittsertrag
[hl/ha]</t>
  </si>
  <si>
    <t>Erzeugerpreis 
[EUR/hl]</t>
  </si>
  <si>
    <t>Erlös Weinbau [EUR]</t>
  </si>
  <si>
    <t>Erlös Obstbau [EUR]</t>
  </si>
  <si>
    <t>Summe des bereinigter Schadens aus Obst- u. Weinbau größer als 7.500 EUR?</t>
  </si>
  <si>
    <t>lfd. Nr.</t>
  </si>
  <si>
    <t>Ertrags-rebfläche
 [ha]</t>
  </si>
  <si>
    <t>Landkreis</t>
  </si>
  <si>
    <t>Lankreise in der Frostkulisse</t>
  </si>
  <si>
    <t>FID
DEBYLI-…..</t>
  </si>
  <si>
    <t>Bamberg</t>
  </si>
  <si>
    <t>111/2</t>
  </si>
  <si>
    <t>durschschnittliche Hektarerlöse
[EUR/ha]</t>
  </si>
  <si>
    <t>Hektarerlös im Basiszeitraum (Mittelwert abzgl. Min/Max)</t>
  </si>
  <si>
    <t>Ertragsanbaufläche
 [ha]</t>
  </si>
  <si>
    <t>Hektarerlös 2024 [EUR/ha]</t>
  </si>
  <si>
    <t>Hektarerlös [EUR]</t>
  </si>
  <si>
    <t>Gesamterlös 2023</t>
  </si>
  <si>
    <t>Gesamterlös 2022</t>
  </si>
  <si>
    <t>Gesamterlös 2021</t>
  </si>
  <si>
    <t>Gesamterlös 2019</t>
  </si>
  <si>
    <t>Gesamt-erzeugung [hl]</t>
  </si>
  <si>
    <t>Durch-schnittlicher Ertrag [hl/ha]</t>
  </si>
  <si>
    <t>gesamte Ertragsreb-fläche [ha]</t>
  </si>
  <si>
    <t>Ausfüllanleitung:</t>
  </si>
  <si>
    <t xml:space="preserve">3) </t>
  </si>
  <si>
    <t>1) Antragsteller/in:</t>
  </si>
  <si>
    <t>2) Versicherungsleistungen u. sonstige Zahlungen:</t>
  </si>
  <si>
    <t>3) Gesamterlös:</t>
  </si>
  <si>
    <t>4) bereinigte Schäden:</t>
  </si>
  <si>
    <t>alle anderen Angaben errechnen sich automatisch mit hinterlegten Werten und den Angaben des Antragstellers</t>
  </si>
  <si>
    <t>reine Weinbaubetriebe: Deckblatt u. 1) Wein-Erntemengenerhebung ausfüllen
reine Obstbaubetriebe: Deckblatt u. 2) Obstbau-Erntemengenerhebung ausfüllen
Gemischtbetriebe mit Obst- u. Weinbau: Deckblatt u. 1) u. 2) ausfüllen</t>
  </si>
  <si>
    <t xml:space="preserve">4) </t>
  </si>
  <si>
    <t>5)</t>
  </si>
  <si>
    <r>
      <rPr>
        <b/>
        <i/>
        <sz val="10"/>
        <color rgb="FFFFC000"/>
        <rFont val="Arial"/>
        <family val="2"/>
      </rPr>
      <t>orange</t>
    </r>
    <r>
      <rPr>
        <i/>
        <sz val="10"/>
        <color theme="1"/>
        <rFont val="Arial"/>
        <family val="2"/>
      </rPr>
      <t xml:space="preserve"> gefärbte Zellen sind vom Antragsteller auszufüllen </t>
    </r>
  </si>
  <si>
    <r>
      <t xml:space="preserve">eine </t>
    </r>
    <r>
      <rPr>
        <b/>
        <i/>
        <sz val="10"/>
        <color theme="1"/>
        <rFont val="Arial"/>
        <family val="2"/>
      </rPr>
      <t>digitale Einreichung</t>
    </r>
    <r>
      <rPr>
        <i/>
        <sz val="10"/>
        <color theme="1"/>
        <rFont val="Arial"/>
        <family val="2"/>
      </rPr>
      <t xml:space="preserve"> dieser Datei ermöglicht eine beschleunigte Antragsbearbeitung</t>
    </r>
  </si>
  <si>
    <t xml:space="preserve">1.1) Erfassung der Ertragsrebflächen und der Gesamterzeugung 
</t>
  </si>
  <si>
    <r>
      <t xml:space="preserve">1.2) Flächenerfassung </t>
    </r>
    <r>
      <rPr>
        <b/>
        <u/>
        <sz val="11"/>
        <color theme="1"/>
        <rFont val="Arial"/>
        <family val="2"/>
      </rPr>
      <t>einer</t>
    </r>
    <r>
      <rPr>
        <b/>
        <sz val="11"/>
        <color theme="1"/>
        <rFont val="Arial"/>
        <family val="2"/>
      </rPr>
      <t xml:space="preserve"> Ertragsrebflächen in der Frostkulisse im Schadjahr 2024</t>
    </r>
  </si>
  <si>
    <t>Gemarkung
*</t>
  </si>
  <si>
    <t>Landkreis
*</t>
  </si>
  <si>
    <t>2.2) Schlagerfassung der Ertragsobstflächen im Schadjahr 2024</t>
  </si>
  <si>
    <t xml:space="preserve">Erntemengenerhebung Obst für die Jahre 2019-2024 
</t>
  </si>
  <si>
    <t>2.1) Erfassung der Gesamterzeugungsmenge je Kultur im Schadjahr 2024 und der Ertragsanbauflächen je Kultur der Jahre 2019-2023</t>
  </si>
  <si>
    <t>Hinweis zu den Flächenangaben im Schadjahr 2024 in 2.1) u. 2.2):</t>
  </si>
  <si>
    <r>
      <rPr>
        <i/>
        <u/>
        <sz val="9"/>
        <color theme="1"/>
        <rFont val="Arial"/>
        <family val="2"/>
      </rPr>
      <t xml:space="preserve">Hinweise: </t>
    </r>
    <r>
      <rPr>
        <i/>
        <sz val="9"/>
        <color theme="1"/>
        <rFont val="Arial"/>
        <family val="2"/>
      </rPr>
      <t xml:space="preserve">
- es sind </t>
    </r>
    <r>
      <rPr>
        <b/>
        <i/>
        <sz val="9"/>
        <color theme="1"/>
        <rFont val="Arial"/>
        <family val="2"/>
      </rPr>
      <t>alle im Betrieb angebauten Obstkulturen</t>
    </r>
    <r>
      <rPr>
        <i/>
        <sz val="9"/>
        <color theme="1"/>
        <rFont val="Arial"/>
        <family val="2"/>
      </rPr>
      <t xml:space="preserve"> (unabhängig eines Frostschadens) anzugeben
- die gesamte Anbaufläche einer Kultur ergibt sich automatisch aus den Schlagangaben aus der Liste 2.2)
- für das Schadjahr 2024 sind für jede Kultur die </t>
    </r>
    <r>
      <rPr>
        <b/>
        <i/>
        <sz val="9"/>
        <color theme="1"/>
        <rFont val="Arial"/>
        <family val="2"/>
      </rPr>
      <t>gesamte Erzeugung</t>
    </r>
    <r>
      <rPr>
        <i/>
        <sz val="9"/>
        <color theme="1"/>
        <rFont val="Arial"/>
        <family val="2"/>
      </rPr>
      <t xml:space="preserve"> (nicht schlagspezifisch) anzugeben
- für die Jahre 2019-2023 sind für jede Kultur die </t>
    </r>
    <r>
      <rPr>
        <b/>
        <i/>
        <sz val="9"/>
        <color theme="1"/>
        <rFont val="Arial"/>
        <family val="2"/>
      </rPr>
      <t>gesamte Ertragsanbaufläche</t>
    </r>
    <r>
      <rPr>
        <i/>
        <sz val="9"/>
        <color theme="1"/>
        <rFont val="Arial"/>
        <family val="2"/>
      </rPr>
      <t xml:space="preserve"> anzugeben
- wurde eine Kultur weniger als 5 Jahre angebaut, sind für </t>
    </r>
    <r>
      <rPr>
        <b/>
        <i/>
        <sz val="9"/>
        <color theme="1"/>
        <rFont val="Arial"/>
        <family val="2"/>
      </rPr>
      <t>bei den fehlenden Jahren 0,0 ha</t>
    </r>
    <r>
      <rPr>
        <i/>
        <sz val="9"/>
        <color theme="1"/>
        <rFont val="Arial"/>
        <family val="2"/>
      </rPr>
      <t xml:space="preserve"> einzutragen
- reichen die Spalten nicht aus, ist eine neue Excel-Datei anzulegen
- Bitte den nebenstehenden Hinweis (Flächenvergleich zwischen 2.1) u. 2.2) )</t>
    </r>
    <r>
      <rPr>
        <i/>
        <sz val="11"/>
        <color theme="1"/>
        <rFont val="Arial"/>
        <family val="2"/>
      </rPr>
      <t xml:space="preserve"> </t>
    </r>
    <r>
      <rPr>
        <i/>
        <sz val="9"/>
        <color theme="1"/>
        <rFont val="Arial"/>
        <family val="2"/>
      </rPr>
      <t>beachten!</t>
    </r>
    <r>
      <rPr>
        <i/>
        <sz val="11"/>
        <color theme="1"/>
        <rFont val="Arial"/>
        <family val="2"/>
      </rPr>
      <t xml:space="preserve">
</t>
    </r>
  </si>
  <si>
    <t>Bayreuth</t>
  </si>
  <si>
    <t>Coburg</t>
  </si>
  <si>
    <t>Hof (Saale) Stadt</t>
  </si>
  <si>
    <t>Bamberg Stadt</t>
  </si>
  <si>
    <t>Bayreuth Stadt</t>
  </si>
  <si>
    <t>Coburg Stadt</t>
  </si>
  <si>
    <t>Forchheim</t>
  </si>
  <si>
    <t>Hof</t>
  </si>
  <si>
    <t>Kronach</t>
  </si>
  <si>
    <t>Kulmbach</t>
  </si>
  <si>
    <t>Lichtenfels</t>
  </si>
  <si>
    <t>Wunsiedel i. Fichtelgebirge</t>
  </si>
  <si>
    <t>Ansbach</t>
  </si>
  <si>
    <t>Erlangen Stadt</t>
  </si>
  <si>
    <t>Fürth Stadt</t>
  </si>
  <si>
    <t>Nürnberg Stadt</t>
  </si>
  <si>
    <t>Schwabach Stadt</t>
  </si>
  <si>
    <t>Ansbach Stadt</t>
  </si>
  <si>
    <r>
      <rPr>
        <sz val="7"/>
        <color theme="1"/>
        <rFont val="Times New Roman"/>
        <family val="1"/>
      </rPr>
      <t xml:space="preserve"> </t>
    </r>
    <r>
      <rPr>
        <sz val="8.5"/>
        <color theme="1"/>
        <rFont val="Arial"/>
        <family val="2"/>
      </rPr>
      <t>Erlangen</t>
    </r>
  </si>
  <si>
    <t>Erlangen-Höchstadt</t>
  </si>
  <si>
    <t>Fürth</t>
  </si>
  <si>
    <t>Neustadt a. d. Aisch – Bad Windsheim</t>
  </si>
  <si>
    <t>Nürnberg</t>
  </si>
  <si>
    <t>Nürnberger Land</t>
  </si>
  <si>
    <t>Schwabach</t>
  </si>
  <si>
    <t>Roth</t>
  </si>
  <si>
    <r>
      <rPr>
        <sz val="7"/>
        <color theme="1"/>
        <rFont val="Times New Roman"/>
        <family val="1"/>
      </rPr>
      <t xml:space="preserve"> </t>
    </r>
    <r>
      <rPr>
        <sz val="8.5"/>
        <color theme="1"/>
        <rFont val="Arial"/>
        <family val="2"/>
      </rPr>
      <t>Weißenburg-Gunzenhausen</t>
    </r>
  </si>
  <si>
    <t>Aschaffenburg Stadt</t>
  </si>
  <si>
    <t>Schweinfurt Stadt</t>
  </si>
  <si>
    <t>Würzburg</t>
  </si>
  <si>
    <t>Kempten (Allgäu)</t>
  </si>
  <si>
    <t>Augsburg Stadt</t>
  </si>
  <si>
    <t>Unterallgäu</t>
  </si>
  <si>
    <t>Lindau (Bodensee)</t>
  </si>
  <si>
    <t>Günzburg</t>
  </si>
  <si>
    <t>Donau-Ries</t>
  </si>
  <si>
    <t>Dillingen a. d. Donau</t>
  </si>
  <si>
    <t>Augsburg</t>
  </si>
  <si>
    <t>Aichach-Friedberg</t>
  </si>
  <si>
    <t>Straubing-Bogen</t>
  </si>
  <si>
    <t>Rottal-Inn</t>
  </si>
  <si>
    <t>Regen</t>
  </si>
  <si>
    <t>Passau</t>
  </si>
  <si>
    <t>Landshut</t>
  </si>
  <si>
    <t>München Stadt</t>
  </si>
  <si>
    <r>
      <rPr>
        <sz val="7"/>
        <color theme="1"/>
        <rFont val="Times New Roman"/>
        <family val="1"/>
      </rPr>
      <t xml:space="preserve"> </t>
    </r>
    <r>
      <rPr>
        <sz val="8.5"/>
        <color theme="1"/>
        <rFont val="Arial"/>
        <family val="2"/>
      </rPr>
      <t>Traunstein</t>
    </r>
  </si>
  <si>
    <t>Starnberg</t>
  </si>
  <si>
    <t>Rosenheim</t>
  </si>
  <si>
    <t>Pfaffenhofen a. d. Ilm</t>
  </si>
  <si>
    <t>Neuburg-Schrobenhausen</t>
  </si>
  <si>
    <t>München</t>
  </si>
  <si>
    <t>Mühldorf a. Inn</t>
  </si>
  <si>
    <t>Miesbach</t>
  </si>
  <si>
    <t>Landsberg a. Lech</t>
  </si>
  <si>
    <t>Fürstenfeldbruck</t>
  </si>
  <si>
    <t>Freising</t>
  </si>
  <si>
    <t>Erding</t>
  </si>
  <si>
    <t>Eichstädt</t>
  </si>
  <si>
    <t>Ebersberg</t>
  </si>
  <si>
    <t>Dachau</t>
  </si>
  <si>
    <t>Tirschenreuth</t>
  </si>
  <si>
    <t>Schwandorf</t>
  </si>
  <si>
    <t>Regensburg</t>
  </si>
  <si>
    <t>Neustadt a. d. Waldnaab</t>
  </si>
  <si>
    <t>Neumarkt i. d. Oberpfalz</t>
  </si>
  <si>
    <t>Main-Spessart</t>
  </si>
  <si>
    <t>Miltenberg</t>
  </si>
  <si>
    <t>Rhön-Grabfeld</t>
  </si>
  <si>
    <t>Schweinfurt</t>
  </si>
  <si>
    <t>Würzburg Stadt</t>
  </si>
  <si>
    <r>
      <rPr>
        <sz val="8.5"/>
        <color theme="1"/>
        <rFont val="Arial"/>
        <family val="2"/>
      </rPr>
      <t>Regensburg</t>
    </r>
    <r>
      <rPr>
        <sz val="8.5"/>
        <color theme="1"/>
        <rFont val="Symbol"/>
        <family val="1"/>
        <charset val="2"/>
      </rPr>
      <t xml:space="preserve"> </t>
    </r>
    <r>
      <rPr>
        <sz val="8.5"/>
        <color theme="1"/>
        <rFont val="Arial"/>
        <family val="2"/>
      </rPr>
      <t>Stadt</t>
    </r>
  </si>
  <si>
    <t>Weiden Stadt</t>
  </si>
  <si>
    <t>Amberg-Sulzbach</t>
  </si>
  <si>
    <t>Cham</t>
  </si>
  <si>
    <t>Kitzingen</t>
  </si>
  <si>
    <t>Haßberge</t>
  </si>
  <si>
    <t>Bad Kissingen</t>
  </si>
  <si>
    <t>Aschaffenburg</t>
  </si>
  <si>
    <t>Erlangen</t>
  </si>
  <si>
    <t>Traunstein</t>
  </si>
  <si>
    <t>Weißenburg-Gunzenhausen</t>
  </si>
  <si>
    <t>Regensburg Stadt</t>
  </si>
  <si>
    <t>gesamte Ertrags-anbaufläche [ha]</t>
  </si>
  <si>
    <t>Gesamterzeugung der Kultur im Schadjahr 2024 [dt]</t>
  </si>
  <si>
    <t>Durchschnittsertrag 2019-2023</t>
  </si>
  <si>
    <t>Erntekosten [EUR/dt]</t>
  </si>
  <si>
    <t>Aronia</t>
  </si>
  <si>
    <t>Quitte</t>
  </si>
  <si>
    <t>öko Aronia</t>
  </si>
  <si>
    <t>öko Quitte</t>
  </si>
  <si>
    <t>Flurstück-nummer
*</t>
  </si>
  <si>
    <t>berechneter Schaden Weinbau [EUR]:</t>
  </si>
  <si>
    <t>abzgl. entgangene Erntekosten (pauschal) [EUR]:</t>
  </si>
  <si>
    <t>bereinigter Schaden Weinbau [EUR]:</t>
  </si>
  <si>
    <t>Erntekosten je 1 hl</t>
  </si>
  <si>
    <t>€/hl</t>
  </si>
  <si>
    <t>bereinigter Schaden Weinbau [EUR]</t>
  </si>
  <si>
    <t>Summe   [EUR]</t>
  </si>
  <si>
    <t>bereinigter Schaden Obstbau [EUR]</t>
  </si>
  <si>
    <t xml:space="preserve"> 2)</t>
  </si>
  <si>
    <t>1)</t>
  </si>
  <si>
    <t>Weinbau
[EUR]</t>
  </si>
  <si>
    <t>Obstbau
[EUR]</t>
  </si>
  <si>
    <t>Summe
[EUR]</t>
  </si>
  <si>
    <t>erhaltene bzw. zugesagte Versicherungsleistungen:</t>
  </si>
  <si>
    <t>erhaltene bzw. zugesagte sonstige Zahlungen:</t>
  </si>
  <si>
    <t>Weinbau
 [EUR]</t>
  </si>
  <si>
    <t>Frostschaden in % des Basiszeitraumes</t>
  </si>
  <si>
    <t>(mind. 30%)</t>
  </si>
  <si>
    <t>Obstbau
 [EUR]</t>
  </si>
  <si>
    <t>Summe aus Versicherungsl. u. sonst. Zahlungen:</t>
  </si>
  <si>
    <t>plausibilisierte bereinigten Schäden (mind. 7.500 EUR):</t>
  </si>
  <si>
    <t>Plausibilisierte Erlöse für die 30% Schwellenwertberechnung:</t>
  </si>
  <si>
    <t>Anträge, welche die Schadensschwelle u. den Mindestschaden unterschreiten, werden abgelehnt. Die beiden untenstehenden Schaltflächen zeigen an, ob die Schwellen unter/-überschritten werden.</t>
  </si>
  <si>
    <r>
      <rPr>
        <i/>
        <u/>
        <sz val="9"/>
        <color theme="1"/>
        <rFont val="Arial"/>
        <family val="2"/>
      </rPr>
      <t>Hinweis:</t>
    </r>
    <r>
      <rPr>
        <i/>
        <sz val="9"/>
        <color theme="1"/>
        <rFont val="Arial"/>
        <family val="2"/>
      </rPr>
      <t xml:space="preserve">
Die Daten aus den Weinerzeugungs-/Traubenerntemeldungen oder Anlieferungsbescheinigungen sind in die </t>
    </r>
    <r>
      <rPr>
        <b/>
        <i/>
        <sz val="9"/>
        <color rgb="FFFFC000"/>
        <rFont val="Arial"/>
        <family val="2"/>
      </rPr>
      <t>orangen Eingabefelder</t>
    </r>
    <r>
      <rPr>
        <i/>
        <sz val="9"/>
        <color theme="1"/>
        <rFont val="Arial"/>
        <family val="2"/>
      </rPr>
      <t xml:space="preserve"> einzutragen.
Es sind nur </t>
    </r>
    <r>
      <rPr>
        <b/>
        <i/>
        <sz val="9"/>
        <color theme="1"/>
        <rFont val="Arial"/>
        <family val="2"/>
      </rPr>
      <t>Ertrags</t>
    </r>
    <r>
      <rPr>
        <i/>
        <sz val="9"/>
        <color theme="1"/>
        <rFont val="Arial"/>
        <family val="2"/>
      </rPr>
      <t>rebflächen (d.h. ohne Junganlagen im 1. Standjahr) relevant.</t>
    </r>
  </si>
  <si>
    <r>
      <rPr>
        <i/>
        <u/>
        <sz val="9"/>
        <color theme="1"/>
        <rFont val="Arial"/>
        <family val="2"/>
      </rPr>
      <t>Hinweis:</t>
    </r>
    <r>
      <rPr>
        <i/>
        <sz val="9"/>
        <color theme="1"/>
        <rFont val="Arial"/>
        <family val="2"/>
      </rPr>
      <t xml:space="preserve">
Betriebe, die mindestens </t>
    </r>
    <r>
      <rPr>
        <b/>
        <i/>
        <sz val="9"/>
        <color theme="1"/>
        <rFont val="Arial"/>
        <family val="2"/>
      </rPr>
      <t>eine</t>
    </r>
    <r>
      <rPr>
        <i/>
        <sz val="9"/>
        <color theme="1"/>
        <rFont val="Arial"/>
        <family val="2"/>
      </rPr>
      <t xml:space="preserve"> Fläche in  der Frostkulisse bewirtschaften, geben hier eine (beliebige) bewirtschaftete Fläche in der Frostkulisse an.
Die mit * gekennzeichneten Angaben sind nur anzugeben, falls keine FID vorhanden ist.
Betriebe, die keine Fläche in der Frostkulisse bewirtschaften, lassen diese Zeile leer und fügen dem Antrag Nachweise für eine Frostschädigung bei (siehe Antrag u. Merkblatt).</t>
    </r>
  </si>
  <si>
    <t>Gesamt
-erlös
[EUR]</t>
  </si>
  <si>
    <r>
      <rPr>
        <i/>
        <u/>
        <sz val="9"/>
        <color theme="1"/>
        <rFont val="Arial"/>
        <family val="2"/>
      </rPr>
      <t xml:space="preserve">Hinweise:
</t>
    </r>
    <r>
      <rPr>
        <i/>
        <sz val="9"/>
        <color theme="1"/>
        <rFont val="Arial"/>
        <family val="2"/>
      </rPr>
      <t xml:space="preserve">In diese Liste sind </t>
    </r>
    <r>
      <rPr>
        <i/>
        <u/>
        <sz val="9"/>
        <color theme="1"/>
        <rFont val="Arial"/>
        <family val="2"/>
      </rPr>
      <t>alle</t>
    </r>
    <r>
      <rPr>
        <i/>
        <sz val="9"/>
        <color theme="1"/>
        <rFont val="Arial"/>
        <family val="2"/>
      </rPr>
      <t xml:space="preserve"> Schläge der Obstbaukulturen </t>
    </r>
    <r>
      <rPr>
        <i/>
        <u/>
        <sz val="9"/>
        <color theme="1"/>
        <rFont val="Arial"/>
        <family val="2"/>
      </rPr>
      <t>einzeln</t>
    </r>
    <r>
      <rPr>
        <i/>
        <sz val="9"/>
        <color theme="1"/>
        <rFont val="Arial"/>
        <family val="2"/>
      </rPr>
      <t xml:space="preserve"> anzugeben, unabhängig davon, ob der einzelne Schlag einen Frostschaden erlitt oder nicht.
Die für die in Liste 2.1) relevante Gesamtanbaufläche je Kultur wird automatisch aus den Daten ermittelt.
Die mit * gekennzeichneten Angaben sind nur zu erfassen,</t>
    </r>
    <r>
      <rPr>
        <b/>
        <i/>
        <sz val="9"/>
        <color theme="1"/>
        <rFont val="Arial"/>
        <family val="2"/>
      </rPr>
      <t xml:space="preserve"> falls keine FID</t>
    </r>
    <r>
      <rPr>
        <i/>
        <sz val="9"/>
        <color theme="1"/>
        <rFont val="Arial"/>
        <family val="2"/>
      </rPr>
      <t xml:space="preserve"> vorhanden ist 
Die einzelnen Kulturen können über ein Drop-Down-Menü ausgewählt werden
</t>
    </r>
  </si>
  <si>
    <t>Hektarerlös im Basiszeitraum [EUR/ha]</t>
  </si>
  <si>
    <t>gesamte Ertragsanbaufläche der Kultur im Schadjahr 2024 [ha]</t>
  </si>
  <si>
    <t>nicht angefallene Erntekosten 2024 [EUR/ha]</t>
  </si>
  <si>
    <t>Gesamterlös 2020</t>
  </si>
  <si>
    <t>Gesamterlös 2024 [EUR]</t>
  </si>
  <si>
    <t>bereinigter Schaden der Kultur 2024 [EUR]</t>
  </si>
  <si>
    <t xml:space="preserve">Wein- u. Obstbau Erntemengenerhebung Frost 2019-2024 </t>
  </si>
  <si>
    <t>Hilfstabelle für G12</t>
  </si>
  <si>
    <t>Hilfstabelle für H12</t>
  </si>
  <si>
    <t>Hilfstabelle für R26</t>
  </si>
  <si>
    <t>Erzeuger-preis (festgesetzt) [EUR/hl]</t>
  </si>
  <si>
    <t>Erzeugerpreis festgesetzt 2024 [EUR/dt]</t>
  </si>
  <si>
    <t>im 5-Jahres Basiszeitraum:</t>
  </si>
  <si>
    <t>im 3-Jahres-Zeitraum:</t>
  </si>
  <si>
    <t>Gesamterlös 5-Jahres Basiszeitraum:</t>
  </si>
  <si>
    <t>Gesamterlös 3-Jahreszeitraum:</t>
  </si>
  <si>
    <t>Hektarerlös im Basiszeitraum 3 Jahre</t>
  </si>
  <si>
    <t>Johannisbeere rot (Frischware)</t>
  </si>
  <si>
    <t xml:space="preserve">Johannisbeere rot (Industrieobst) </t>
  </si>
  <si>
    <t>Johannisbeere schwarz (Frischobst)</t>
  </si>
  <si>
    <t xml:space="preserve">Johannisbeere schwarz (Industrieobst) </t>
  </si>
  <si>
    <t>öko Johannisbeere rot (Frischobst)</t>
  </si>
  <si>
    <t>öko Johannisbeere rot (Industrieobst)</t>
  </si>
  <si>
    <t>öko Johannisbeere schwarz (Frischobst)</t>
  </si>
  <si>
    <t>öko Johannisbeere schwarz (Industrieobst)</t>
  </si>
  <si>
    <t>Stand von 6.12.-12.12.</t>
  </si>
  <si>
    <r>
      <t xml:space="preserve">Version 1.3
</t>
    </r>
    <r>
      <rPr>
        <sz val="6"/>
        <color theme="1"/>
        <rFont val="Arial"/>
        <family val="2"/>
      </rPr>
      <t>Stand: 12.12.2024</t>
    </r>
  </si>
  <si>
    <t>Summe  
 [EUR]</t>
  </si>
  <si>
    <t>Summe   
[EUR]</t>
  </si>
  <si>
    <t>Erlös Weinbau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</si>
</sst>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0"/>
    <numFmt numFmtId="166" formatCode="0.0000"/>
  </numFmts>
  <fonts count="44" x14ac:knownFonts="1">
    <font>
      <sz val="11"/>
      <color theme="1"/>
      <name val="Calibri"/>
      <family val="2"/>
      <scheme val="minor"/>
    </font>
    <font>
      <b/>
      <sz val="22"/>
      <color theme="1"/>
      <name val="Arial"/>
      <family val="2"/>
    </font>
    <font>
      <sz val="11"/>
      <color theme="1"/>
      <name val="Arial"/>
      <family val="2"/>
    </font>
    <font>
      <b/>
      <sz val="11"/>
      <color theme="1"/>
      <name val="Arial"/>
      <family val="2"/>
    </font>
    <font>
      <b/>
      <sz val="20"/>
      <color theme="1"/>
      <name val="Arial"/>
      <family val="2"/>
    </font>
    <font>
      <sz val="11"/>
      <name val="Calibri"/>
      <family val="2"/>
      <scheme val="minor"/>
    </font>
    <font>
      <sz val="8"/>
      <color theme="1"/>
      <name val="Arial"/>
      <family val="2"/>
    </font>
    <font>
      <b/>
      <sz val="10"/>
      <color theme="1"/>
      <name val="Arial"/>
      <family val="2"/>
    </font>
    <font>
      <b/>
      <sz val="11"/>
      <color theme="1"/>
      <name val="Calibri"/>
      <family val="2"/>
      <scheme val="minor"/>
    </font>
    <font>
      <b/>
      <sz val="14"/>
      <color theme="1"/>
      <name val="Arial"/>
      <family val="2"/>
    </font>
    <font>
      <i/>
      <sz val="11"/>
      <color theme="0" tint="-0.34998626667073579"/>
      <name val="Arial"/>
      <family val="2"/>
    </font>
    <font>
      <sz val="8"/>
      <name val="Calibri"/>
      <family val="2"/>
      <scheme val="minor"/>
    </font>
    <font>
      <i/>
      <sz val="11"/>
      <color theme="0" tint="-0.499984740745262"/>
      <name val="Arial"/>
      <family val="2"/>
    </font>
    <font>
      <b/>
      <sz val="8"/>
      <color theme="1"/>
      <name val="Arial"/>
      <family val="2"/>
    </font>
    <font>
      <b/>
      <sz val="11"/>
      <name val="Arial"/>
      <family val="2"/>
    </font>
    <font>
      <b/>
      <u/>
      <sz val="11"/>
      <color theme="1"/>
      <name val="Arial"/>
      <family val="2"/>
    </font>
    <font>
      <sz val="10"/>
      <color theme="1"/>
      <name val="Arial"/>
      <family val="2"/>
    </font>
    <font>
      <sz val="14"/>
      <color theme="1"/>
      <name val="Arial"/>
      <family val="2"/>
    </font>
    <font>
      <i/>
      <u/>
      <sz val="10"/>
      <color theme="1"/>
      <name val="Arial"/>
      <family val="2"/>
    </font>
    <font>
      <i/>
      <sz val="9"/>
      <color theme="1"/>
      <name val="Arial"/>
      <family val="2"/>
    </font>
    <font>
      <i/>
      <sz val="10"/>
      <color theme="1"/>
      <name val="Arial"/>
      <family val="2"/>
    </font>
    <font>
      <b/>
      <i/>
      <sz val="10"/>
      <color rgb="FFFFC000"/>
      <name val="Arial"/>
      <family val="2"/>
    </font>
    <font>
      <b/>
      <i/>
      <sz val="10"/>
      <color theme="1"/>
      <name val="Arial"/>
      <family val="2"/>
    </font>
    <font>
      <i/>
      <u/>
      <sz val="9"/>
      <color theme="1"/>
      <name val="Arial"/>
      <family val="2"/>
    </font>
    <font>
      <i/>
      <sz val="11"/>
      <color theme="1"/>
      <name val="Arial"/>
      <family val="2"/>
    </font>
    <font>
      <b/>
      <i/>
      <sz val="9"/>
      <color theme="1"/>
      <name val="Arial"/>
      <family val="2"/>
    </font>
    <font>
      <sz val="11"/>
      <color theme="0" tint="-0.34998626667073579"/>
      <name val="Arial"/>
      <family val="2"/>
    </font>
    <font>
      <sz val="11"/>
      <color theme="0" tint="-0.499984740745262"/>
      <name val="Arial"/>
      <family val="2"/>
    </font>
    <font>
      <sz val="8.5"/>
      <color theme="1"/>
      <name val="Arial"/>
      <family val="2"/>
    </font>
    <font>
      <sz val="8.5"/>
      <color theme="1"/>
      <name val="Symbol"/>
      <family val="1"/>
      <charset val="2"/>
    </font>
    <font>
      <sz val="7"/>
      <color theme="1"/>
      <name val="Times New Roman"/>
      <family val="1"/>
    </font>
    <font>
      <sz val="8.5"/>
      <color theme="1"/>
      <name val="Symbol"/>
      <family val="2"/>
      <charset val="2"/>
    </font>
    <font>
      <sz val="6"/>
      <color theme="1"/>
      <name val="Arial"/>
      <family val="2"/>
    </font>
    <font>
      <sz val="9"/>
      <color theme="1"/>
      <name val="Arial"/>
      <family val="2"/>
    </font>
    <font>
      <b/>
      <sz val="9"/>
      <color theme="1"/>
      <name val="Arial"/>
      <family val="2"/>
    </font>
    <font>
      <sz val="10"/>
      <color theme="1"/>
      <name val="Calibri"/>
      <family val="2"/>
      <scheme val="minor"/>
    </font>
    <font>
      <b/>
      <i/>
      <u/>
      <sz val="10"/>
      <color theme="1"/>
      <name val="Arial"/>
      <family val="2"/>
    </font>
    <font>
      <b/>
      <i/>
      <sz val="9"/>
      <color rgb="FFFFC000"/>
      <name val="Arial"/>
      <family val="2"/>
    </font>
    <font>
      <u/>
      <sz val="11"/>
      <color rgb="FFFF0000"/>
      <name val="Arial"/>
      <family val="2"/>
    </font>
    <font>
      <sz val="10"/>
      <color theme="0" tint="-0.34998626667073579"/>
      <name val="Arial"/>
      <family val="2"/>
    </font>
    <font>
      <sz val="11"/>
      <color theme="0" tint="-0.34998626667073579"/>
      <name val="Calibri"/>
      <family val="2"/>
      <scheme val="minor"/>
    </font>
    <font>
      <sz val="9"/>
      <color theme="0" tint="-0.34998626667073579"/>
      <name val="Arial"/>
      <family val="2"/>
    </font>
    <font>
      <b/>
      <sz val="11"/>
      <color theme="0" tint="-0.34998626667073579"/>
      <name val="Arial"/>
      <family val="2"/>
    </font>
    <font>
      <b/>
      <sz val="11"/>
      <color rgb="FFFF0000"/>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darkUp">
        <bgColor theme="2" tint="-9.9978637043366805E-2"/>
      </patternFill>
    </fill>
    <fill>
      <patternFill patternType="solid">
        <fgColor rgb="FFFFC00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458">
    <xf numFmtId="0" fontId="0" fillId="0" borderId="0" xfId="0"/>
    <xf numFmtId="0" fontId="2" fillId="0" borderId="1" xfId="0" applyFont="1" applyBorder="1"/>
    <xf numFmtId="0" fontId="2" fillId="0" borderId="3" xfId="0" applyFont="1" applyBorder="1"/>
    <xf numFmtId="0" fontId="2" fillId="0" borderId="5" xfId="0" applyFont="1" applyBorder="1"/>
    <xf numFmtId="2" fontId="0" fillId="0" borderId="0" xfId="0" applyNumberFormat="1"/>
    <xf numFmtId="164" fontId="2" fillId="0" borderId="10" xfId="0" applyNumberFormat="1" applyFont="1" applyBorder="1" applyAlignment="1">
      <alignment horizontal="center"/>
    </xf>
    <xf numFmtId="164" fontId="2" fillId="0" borderId="7" xfId="0" applyNumberFormat="1" applyFont="1" applyBorder="1" applyAlignment="1">
      <alignment horizontal="center"/>
    </xf>
    <xf numFmtId="164" fontId="2" fillId="0" borderId="9" xfId="0" applyNumberFormat="1" applyFont="1" applyBorder="1" applyAlignment="1">
      <alignment horizontal="center"/>
    </xf>
    <xf numFmtId="0" fontId="0" fillId="0" borderId="0" xfId="0" applyBorder="1"/>
    <xf numFmtId="4" fontId="2" fillId="3" borderId="3" xfId="0" applyNumberFormat="1" applyFont="1" applyFill="1" applyBorder="1"/>
    <xf numFmtId="0" fontId="2" fillId="0" borderId="1" xfId="0" applyFont="1" applyBorder="1" applyAlignment="1">
      <alignment horizontal="left" vertical="center"/>
    </xf>
    <xf numFmtId="164" fontId="2" fillId="0" borderId="3" xfId="0" applyNumberFormat="1" applyFont="1" applyBorder="1" applyAlignment="1">
      <alignment horizontal="center"/>
    </xf>
    <xf numFmtId="0" fontId="0" fillId="0" borderId="3" xfId="0" applyBorder="1"/>
    <xf numFmtId="2" fontId="0" fillId="0" borderId="0" xfId="0" applyNumberFormat="1" applyBorder="1"/>
    <xf numFmtId="164" fontId="2" fillId="0" borderId="15" xfId="0" applyNumberFormat="1" applyFont="1" applyBorder="1" applyAlignment="1">
      <alignment horizontal="center"/>
    </xf>
    <xf numFmtId="164" fontId="2" fillId="0" borderId="11" xfId="0" applyNumberFormat="1" applyFont="1" applyBorder="1" applyAlignment="1">
      <alignment horizontal="center"/>
    </xf>
    <xf numFmtId="164" fontId="2" fillId="0" borderId="14" xfId="0" applyNumberFormat="1" applyFont="1" applyBorder="1" applyAlignment="1">
      <alignment horizontal="center"/>
    </xf>
    <xf numFmtId="0" fontId="3" fillId="2" borderId="22" xfId="0" applyFont="1" applyFill="1" applyBorder="1" applyAlignment="1">
      <alignment horizontal="center" vertical="center" wrapText="1"/>
    </xf>
    <xf numFmtId="4" fontId="2" fillId="0" borderId="1" xfId="0" applyNumberFormat="1" applyFont="1" applyBorder="1" applyAlignment="1">
      <alignment horizontal="center"/>
    </xf>
    <xf numFmtId="2" fontId="2" fillId="0" borderId="1" xfId="0" applyNumberFormat="1" applyFont="1" applyBorder="1" applyAlignment="1">
      <alignment horizontal="center"/>
    </xf>
    <xf numFmtId="2" fontId="2" fillId="8" borderId="1" xfId="0" applyNumberFormat="1" applyFont="1" applyFill="1" applyBorder="1"/>
    <xf numFmtId="0" fontId="0" fillId="9" borderId="17" xfId="0" applyFill="1" applyBorder="1" applyAlignment="1"/>
    <xf numFmtId="0" fontId="0" fillId="9" borderId="1" xfId="0" applyFill="1" applyBorder="1" applyAlignment="1"/>
    <xf numFmtId="0" fontId="0" fillId="0" borderId="0" xfId="0" applyFill="1" applyBorder="1" applyAlignment="1"/>
    <xf numFmtId="0" fontId="0" fillId="0" borderId="0" xfId="0" applyFill="1" applyBorder="1"/>
    <xf numFmtId="0" fontId="2" fillId="0" borderId="5" xfId="0" applyFont="1" applyBorder="1" applyAlignment="1">
      <alignment horizontal="right" vertical="center" wrapText="1"/>
    </xf>
    <xf numFmtId="49" fontId="10" fillId="0" borderId="5" xfId="0" applyNumberFormat="1" applyFont="1" applyBorder="1" applyAlignment="1">
      <alignment vertical="center"/>
    </xf>
    <xf numFmtId="0" fontId="2" fillId="0" borderId="1" xfId="0" applyFont="1" applyBorder="1" applyAlignment="1">
      <alignment horizontal="right" vertical="center" wrapText="1"/>
    </xf>
    <xf numFmtId="2" fontId="10" fillId="0" borderId="1" xfId="0" applyNumberFormat="1" applyFont="1" applyBorder="1" applyAlignment="1">
      <alignment horizontal="center" vertical="center"/>
    </xf>
    <xf numFmtId="2" fontId="10" fillId="0" borderId="5" xfId="0" applyNumberFormat="1" applyFont="1" applyBorder="1" applyAlignment="1">
      <alignment horizontal="center" vertical="center"/>
    </xf>
    <xf numFmtId="49" fontId="10" fillId="0" borderId="30" xfId="0" applyNumberFormat="1" applyFont="1" applyBorder="1"/>
    <xf numFmtId="2" fontId="10" fillId="0" borderId="0" xfId="0" applyNumberFormat="1" applyFont="1" applyAlignment="1">
      <alignment horizontal="center"/>
    </xf>
    <xf numFmtId="2" fontId="3" fillId="0" borderId="0" xfId="0" applyNumberFormat="1" applyFont="1" applyFill="1" applyBorder="1" applyAlignment="1">
      <alignment vertical="center" wrapText="1"/>
    </xf>
    <xf numFmtId="0" fontId="3" fillId="0" borderId="0" xfId="0" applyFont="1" applyFill="1" applyBorder="1" applyAlignment="1">
      <alignment horizontal="right"/>
    </xf>
    <xf numFmtId="2" fontId="2" fillId="0" borderId="0" xfId="0" applyNumberFormat="1" applyFont="1" applyFill="1" applyBorder="1" applyAlignment="1">
      <alignment horizontal="center" vertical="center"/>
    </xf>
    <xf numFmtId="0" fontId="0" fillId="0" borderId="0" xfId="0" applyFill="1"/>
    <xf numFmtId="4" fontId="2" fillId="0" borderId="3" xfId="0" applyNumberFormat="1" applyFont="1" applyBorder="1" applyAlignment="1">
      <alignment horizontal="center" vertical="center"/>
    </xf>
    <xf numFmtId="4" fontId="2" fillId="0" borderId="1" xfId="0" applyNumberFormat="1" applyFont="1" applyBorder="1" applyAlignment="1">
      <alignment horizontal="center" vertical="center"/>
    </xf>
    <xf numFmtId="4" fontId="2" fillId="0" borderId="5" xfId="0" applyNumberFormat="1" applyFont="1" applyBorder="1" applyAlignment="1">
      <alignment horizontal="center" vertical="center"/>
    </xf>
    <xf numFmtId="4" fontId="2" fillId="3" borderId="1" xfId="0" applyNumberFormat="1" applyFont="1" applyFill="1" applyBorder="1"/>
    <xf numFmtId="2" fontId="0" fillId="0" borderId="0" xfId="0" applyNumberFormat="1" applyFill="1" applyBorder="1"/>
    <xf numFmtId="2" fontId="2" fillId="0" borderId="0" xfId="0" applyNumberFormat="1" applyFont="1" applyFill="1" applyBorder="1"/>
    <xf numFmtId="0" fontId="3" fillId="0" borderId="0" xfId="0" applyFont="1" applyFill="1" applyBorder="1"/>
    <xf numFmtId="2" fontId="2"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xf numFmtId="0" fontId="3" fillId="0" borderId="0" xfId="0" applyFont="1" applyFill="1" applyBorder="1" applyAlignment="1">
      <alignment horizontal="right" vertical="center" wrapText="1"/>
    </xf>
    <xf numFmtId="2" fontId="2" fillId="0" borderId="0" xfId="0" applyNumberFormat="1" applyFont="1" applyFill="1" applyBorder="1" applyAlignment="1"/>
    <xf numFmtId="0" fontId="2" fillId="0" borderId="3" xfId="0" applyFont="1" applyFill="1" applyBorder="1"/>
    <xf numFmtId="0" fontId="0" fillId="0" borderId="0" xfId="0" applyFill="1" applyAlignment="1"/>
    <xf numFmtId="4" fontId="2" fillId="0" borderId="0" xfId="0" applyNumberFormat="1" applyFont="1" applyBorder="1" applyAlignment="1">
      <alignment horizontal="center" vertical="center"/>
    </xf>
    <xf numFmtId="2" fontId="10" fillId="0" borderId="9" xfId="0" applyNumberFormat="1" applyFont="1" applyBorder="1" applyAlignment="1">
      <alignment horizontal="center" vertical="center"/>
    </xf>
    <xf numFmtId="2" fontId="2" fillId="0" borderId="0" xfId="0" applyNumberFormat="1" applyFont="1" applyFill="1" applyBorder="1" applyAlignment="1">
      <alignment horizontal="right" vertical="center" wrapText="1"/>
    </xf>
    <xf numFmtId="2" fontId="0" fillId="0" borderId="0" xfId="0" applyNumberFormat="1" applyAlignment="1"/>
    <xf numFmtId="166" fontId="10" fillId="0" borderId="13" xfId="0" applyNumberFormat="1" applyFont="1" applyBorder="1" applyAlignment="1">
      <alignment horizontal="right" vertical="center" wrapText="1"/>
    </xf>
    <xf numFmtId="166" fontId="10" fillId="0" borderId="12" xfId="0" applyNumberFormat="1" applyFont="1" applyBorder="1" applyAlignment="1">
      <alignment horizontal="right" vertical="center" wrapText="1"/>
    </xf>
    <xf numFmtId="2" fontId="2" fillId="0" borderId="1" xfId="0" applyNumberFormat="1" applyFont="1" applyBorder="1"/>
    <xf numFmtId="2" fontId="10" fillId="0" borderId="5" xfId="0" applyNumberFormat="1" applyFont="1" applyFill="1" applyBorder="1" applyAlignment="1">
      <alignment horizontal="center"/>
    </xf>
    <xf numFmtId="0" fontId="0" fillId="0" borderId="0" xfId="0" applyAlignment="1">
      <alignment horizontal="center"/>
    </xf>
    <xf numFmtId="2" fontId="2" fillId="0" borderId="0" xfId="0" applyNumberFormat="1" applyFont="1" applyFill="1" applyBorder="1" applyAlignment="1">
      <alignment horizontal="center"/>
    </xf>
    <xf numFmtId="49" fontId="2" fillId="0" borderId="0" xfId="0" applyNumberFormat="1" applyFont="1" applyFill="1" applyBorder="1"/>
    <xf numFmtId="166" fontId="2" fillId="0" borderId="0" xfId="0" applyNumberFormat="1" applyFont="1" applyFill="1" applyBorder="1" applyAlignment="1">
      <alignment horizontal="right"/>
    </xf>
    <xf numFmtId="2" fontId="2" fillId="0" borderId="0" xfId="0" applyNumberFormat="1" applyFont="1" applyFill="1" applyBorder="1" applyAlignment="1">
      <alignment horizontal="right"/>
    </xf>
    <xf numFmtId="165" fontId="2" fillId="0" borderId="0" xfId="0" applyNumberFormat="1" applyFont="1" applyFill="1" applyBorder="1"/>
    <xf numFmtId="2" fontId="10" fillId="0" borderId="1" xfId="0" applyNumberFormat="1" applyFont="1" applyFill="1" applyBorder="1" applyAlignment="1">
      <alignment horizontal="center" vertical="center"/>
    </xf>
    <xf numFmtId="49" fontId="10" fillId="0" borderId="30" xfId="0" applyNumberFormat="1" applyFont="1" applyFill="1" applyBorder="1"/>
    <xf numFmtId="2" fontId="10" fillId="0" borderId="0" xfId="0" applyNumberFormat="1" applyFont="1" applyFill="1" applyAlignment="1">
      <alignment horizontal="center"/>
    </xf>
    <xf numFmtId="2" fontId="0" fillId="0" borderId="1" xfId="0" applyNumberFormat="1" applyFill="1" applyBorder="1"/>
    <xf numFmtId="166" fontId="10" fillId="0" borderId="1" xfId="0" applyNumberFormat="1" applyFont="1" applyFill="1" applyBorder="1" applyAlignment="1">
      <alignment horizontal="right" vertical="center" wrapText="1"/>
    </xf>
    <xf numFmtId="2" fontId="10" fillId="0" borderId="9" xfId="0" applyNumberFormat="1" applyFont="1" applyFill="1" applyBorder="1" applyAlignment="1">
      <alignment horizontal="center" vertical="center"/>
    </xf>
    <xf numFmtId="2" fontId="10" fillId="0" borderId="5" xfId="0" applyNumberFormat="1" applyFont="1" applyFill="1" applyBorder="1" applyAlignment="1">
      <alignment horizontal="center" vertical="center"/>
    </xf>
    <xf numFmtId="49" fontId="10" fillId="0" borderId="5" xfId="0" applyNumberFormat="1" applyFont="1" applyFill="1" applyBorder="1" applyAlignment="1">
      <alignment vertical="center"/>
    </xf>
    <xf numFmtId="166" fontId="10" fillId="0" borderId="5" xfId="0" applyNumberFormat="1" applyFont="1" applyFill="1" applyBorder="1" applyAlignment="1">
      <alignment horizontal="right" vertical="center" wrapText="1"/>
    </xf>
    <xf numFmtId="0" fontId="2" fillId="11" borderId="5" xfId="0" applyFont="1" applyFill="1" applyBorder="1" applyAlignment="1">
      <alignment horizontal="right" vertical="center" wrapText="1"/>
    </xf>
    <xf numFmtId="2" fontId="2" fillId="11" borderId="5" xfId="0" applyNumberFormat="1" applyFont="1" applyFill="1" applyBorder="1" applyAlignment="1">
      <alignment horizontal="center" vertical="center"/>
    </xf>
    <xf numFmtId="2" fontId="2" fillId="11" borderId="5"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xf numFmtId="4" fontId="3" fillId="0" borderId="0" xfId="0" applyNumberFormat="1" applyFont="1" applyFill="1" applyBorder="1" applyAlignment="1">
      <alignment horizontal="center"/>
    </xf>
    <xf numFmtId="0" fontId="0" fillId="0" borderId="0" xfId="0" applyBorder="1" applyAlignment="1"/>
    <xf numFmtId="2" fontId="26" fillId="11" borderId="5" xfId="0" applyNumberFormat="1" applyFont="1" applyFill="1" applyBorder="1" applyAlignment="1">
      <alignment horizontal="center" vertical="center" wrapText="1"/>
    </xf>
    <xf numFmtId="4" fontId="2" fillId="0" borderId="1" xfId="0" applyNumberFormat="1" applyFont="1" applyFill="1" applyBorder="1" applyAlignment="1">
      <alignment horizontal="right"/>
    </xf>
    <xf numFmtId="4" fontId="2" fillId="0" borderId="3" xfId="0" applyNumberFormat="1" applyFont="1" applyFill="1" applyBorder="1" applyAlignment="1">
      <alignment horizontal="right" vertical="center"/>
    </xf>
    <xf numFmtId="2" fontId="2" fillId="0" borderId="0" xfId="0" applyNumberFormat="1" applyFont="1" applyFill="1" applyBorder="1" applyAlignment="1">
      <alignment horizontal="left"/>
    </xf>
    <xf numFmtId="165" fontId="3" fillId="0" borderId="3" xfId="0" applyNumberFormat="1" applyFont="1" applyFill="1" applyBorder="1" applyAlignment="1">
      <alignment horizontal="right" vertical="center" wrapText="1"/>
    </xf>
    <xf numFmtId="0" fontId="1" fillId="0" borderId="0" xfId="0" applyFont="1" applyFill="1" applyAlignment="1">
      <alignment horizontal="center" vertical="center" wrapText="1"/>
    </xf>
    <xf numFmtId="0" fontId="3" fillId="0" borderId="0" xfId="0" applyFont="1" applyFill="1" applyAlignment="1">
      <alignment vertical="center"/>
    </xf>
    <xf numFmtId="0" fontId="3" fillId="11" borderId="11" xfId="0" applyFont="1" applyFill="1" applyBorder="1" applyAlignment="1"/>
    <xf numFmtId="2" fontId="2" fillId="11" borderId="9" xfId="0" applyNumberFormat="1" applyFont="1" applyFill="1" applyBorder="1" applyAlignment="1">
      <alignment horizontal="center" vertical="center" wrapText="1"/>
    </xf>
    <xf numFmtId="2" fontId="2" fillId="11" borderId="12" xfId="0" applyNumberFormat="1" applyFont="1" applyFill="1" applyBorder="1" applyAlignment="1">
      <alignment horizontal="center" vertical="center"/>
    </xf>
    <xf numFmtId="0" fontId="3" fillId="0" borderId="2" xfId="0" applyFont="1" applyFill="1" applyBorder="1" applyAlignment="1">
      <alignment vertical="center"/>
    </xf>
    <xf numFmtId="2" fontId="27" fillId="11" borderId="5" xfId="0" applyNumberFormat="1" applyFont="1" applyFill="1" applyBorder="1" applyAlignment="1">
      <alignment horizontal="center" vertical="center" wrapText="1"/>
    </xf>
    <xf numFmtId="2" fontId="27" fillId="11" borderId="9" xfId="0" applyNumberFormat="1" applyFont="1" applyFill="1" applyBorder="1" applyAlignment="1">
      <alignment horizontal="center" vertical="center" wrapText="1"/>
    </xf>
    <xf numFmtId="165" fontId="2" fillId="10" borderId="4" xfId="0" applyNumberFormat="1" applyFont="1" applyFill="1" applyBorder="1" applyAlignment="1" applyProtection="1">
      <alignment horizontal="right" vertical="center"/>
      <protection locked="0"/>
    </xf>
    <xf numFmtId="165" fontId="2" fillId="10" borderId="5" xfId="0" applyNumberFormat="1" applyFont="1" applyFill="1" applyBorder="1" applyAlignment="1" applyProtection="1">
      <alignment horizontal="right" vertical="center"/>
      <protection locked="0"/>
    </xf>
    <xf numFmtId="0" fontId="2" fillId="10" borderId="30" xfId="0" applyFont="1" applyFill="1" applyBorder="1" applyProtection="1">
      <protection locked="0"/>
    </xf>
    <xf numFmtId="0" fontId="7" fillId="10" borderId="12" xfId="0" applyFont="1" applyFill="1" applyBorder="1" applyAlignment="1" applyProtection="1">
      <alignment horizontal="center" vertical="center" wrapText="1"/>
      <protection locked="0"/>
    </xf>
    <xf numFmtId="0" fontId="7" fillId="10" borderId="5" xfId="0" applyFont="1" applyFill="1" applyBorder="1" applyAlignment="1" applyProtection="1">
      <alignment horizontal="center" vertical="center" wrapText="1"/>
      <protection locked="0"/>
    </xf>
    <xf numFmtId="2" fontId="2" fillId="10" borderId="1" xfId="0" applyNumberFormat="1" applyFont="1" applyFill="1" applyBorder="1" applyAlignment="1" applyProtection="1">
      <alignment horizontal="right" vertical="center"/>
      <protection locked="0"/>
    </xf>
    <xf numFmtId="165" fontId="2" fillId="10" borderId="3" xfId="0" applyNumberFormat="1" applyFont="1" applyFill="1" applyBorder="1" applyAlignment="1" applyProtection="1">
      <alignment horizontal="right" vertical="center"/>
      <protection locked="0"/>
    </xf>
    <xf numFmtId="2" fontId="2" fillId="10" borderId="1" xfId="0" applyNumberFormat="1" applyFont="1" applyFill="1" applyBorder="1" applyAlignment="1" applyProtection="1">
      <alignment horizontal="center"/>
      <protection locked="0"/>
    </xf>
    <xf numFmtId="49" fontId="2" fillId="12" borderId="1" xfId="0" applyNumberFormat="1" applyFont="1" applyFill="1" applyBorder="1" applyProtection="1">
      <protection locked="0"/>
    </xf>
    <xf numFmtId="2" fontId="2" fillId="12" borderId="10" xfId="0" applyNumberFormat="1" applyFont="1" applyFill="1" applyBorder="1" applyAlignment="1" applyProtection="1">
      <alignment horizontal="center"/>
      <protection locked="0"/>
    </xf>
    <xf numFmtId="2" fontId="0" fillId="12" borderId="1" xfId="0" applyNumberFormat="1" applyFill="1" applyBorder="1" applyProtection="1">
      <protection locked="0"/>
    </xf>
    <xf numFmtId="166" fontId="2" fillId="10" borderId="1" xfId="0" applyNumberFormat="1" applyFont="1" applyFill="1" applyBorder="1" applyAlignment="1" applyProtection="1">
      <alignment horizontal="right"/>
      <protection locked="0"/>
    </xf>
    <xf numFmtId="2" fontId="2" fillId="10" borderId="3" xfId="0" applyNumberFormat="1" applyFont="1" applyFill="1" applyBorder="1" applyAlignment="1" applyProtection="1">
      <alignment horizontal="center"/>
      <protection locked="0"/>
    </xf>
    <xf numFmtId="49" fontId="2" fillId="12" borderId="3" xfId="0" applyNumberFormat="1" applyFont="1" applyFill="1" applyBorder="1" applyProtection="1">
      <protection locked="0"/>
    </xf>
    <xf numFmtId="2" fontId="2" fillId="12" borderId="7" xfId="0" applyNumberFormat="1" applyFont="1" applyFill="1" applyBorder="1" applyAlignment="1" applyProtection="1">
      <alignment horizontal="center"/>
      <protection locked="0"/>
    </xf>
    <xf numFmtId="2" fontId="0" fillId="12" borderId="3" xfId="0" applyNumberFormat="1" applyFill="1" applyBorder="1" applyProtection="1">
      <protection locked="0"/>
    </xf>
    <xf numFmtId="166" fontId="2" fillId="10" borderId="3" xfId="0" applyNumberFormat="1" applyFont="1" applyFill="1" applyBorder="1" applyAlignment="1" applyProtection="1">
      <alignment horizontal="right"/>
      <protection locked="0"/>
    </xf>
    <xf numFmtId="0" fontId="0" fillId="12" borderId="3" xfId="0" applyFill="1" applyBorder="1" applyAlignment="1" applyProtection="1">
      <protection locked="0"/>
    </xf>
    <xf numFmtId="0" fontId="0" fillId="12" borderId="3" xfId="0" applyFill="1" applyBorder="1" applyProtection="1">
      <protection locked="0"/>
    </xf>
    <xf numFmtId="0" fontId="0" fillId="0" borderId="5" xfId="0" applyBorder="1" applyAlignment="1"/>
    <xf numFmtId="0" fontId="29" fillId="0" borderId="0" xfId="0" applyFont="1" applyAlignment="1">
      <alignment horizontal="left" vertical="center" indent="2"/>
    </xf>
    <xf numFmtId="0" fontId="28" fillId="0" borderId="0" xfId="0" applyFont="1" applyAlignment="1">
      <alignment horizontal="left" vertical="center" indent="2"/>
    </xf>
    <xf numFmtId="0" fontId="31" fillId="0" borderId="0" xfId="0" applyFont="1" applyAlignment="1">
      <alignment horizontal="left" vertical="center" indent="2"/>
    </xf>
    <xf numFmtId="49" fontId="2" fillId="12" borderId="30" xfId="0" applyNumberFormat="1" applyFont="1" applyFill="1" applyBorder="1" applyAlignment="1" applyProtection="1">
      <alignment vertical="center"/>
      <protection locked="0"/>
    </xf>
    <xf numFmtId="2" fontId="2" fillId="12" borderId="35" xfId="0" applyNumberFormat="1" applyFont="1" applyFill="1" applyBorder="1" applyAlignment="1" applyProtection="1">
      <alignment horizontal="center" vertical="center"/>
      <protection locked="0"/>
    </xf>
    <xf numFmtId="2" fontId="2" fillId="12" borderId="30" xfId="0" applyNumberFormat="1" applyFont="1" applyFill="1" applyBorder="1" applyAlignment="1" applyProtection="1">
      <alignment vertical="center"/>
      <protection locked="0"/>
    </xf>
    <xf numFmtId="166" fontId="2" fillId="10" borderId="31" xfId="0" applyNumberFormat="1" applyFont="1" applyFill="1" applyBorder="1" applyAlignment="1" applyProtection="1">
      <alignment horizontal="right" vertical="center"/>
      <protection locked="0"/>
    </xf>
    <xf numFmtId="2" fontId="32" fillId="10" borderId="30" xfId="0" applyNumberFormat="1" applyFont="1" applyFill="1" applyBorder="1" applyAlignment="1" applyProtection="1">
      <alignment horizontal="center" vertical="center" wrapText="1"/>
      <protection locked="0"/>
    </xf>
    <xf numFmtId="0" fontId="9" fillId="0" borderId="0" xfId="0" applyFont="1"/>
    <xf numFmtId="49" fontId="17" fillId="0" borderId="0" xfId="0" applyNumberFormat="1" applyFont="1" applyAlignment="1">
      <alignment horizontal="left" vertical="center" indent="2"/>
    </xf>
    <xf numFmtId="0" fontId="2" fillId="0" borderId="16" xfId="0" applyFont="1" applyBorder="1"/>
    <xf numFmtId="164" fontId="2" fillId="0" borderId="21" xfId="0" applyNumberFormat="1" applyFont="1" applyBorder="1" applyAlignment="1">
      <alignment horizontal="center"/>
    </xf>
    <xf numFmtId="164" fontId="2" fillId="0" borderId="6" xfId="0" applyNumberFormat="1" applyFont="1" applyBorder="1" applyAlignment="1">
      <alignment horizontal="center"/>
    </xf>
    <xf numFmtId="164" fontId="2" fillId="0" borderId="28" xfId="0" applyNumberFormat="1" applyFont="1" applyBorder="1" applyAlignment="1">
      <alignment horizontal="center"/>
    </xf>
    <xf numFmtId="2" fontId="2" fillId="8" borderId="13" xfId="0" applyNumberFormat="1" applyFont="1" applyFill="1" applyBorder="1" applyAlignment="1">
      <alignment horizontal="center"/>
    </xf>
    <xf numFmtId="2" fontId="2" fillId="8" borderId="1" xfId="0" applyNumberFormat="1" applyFont="1" applyFill="1" applyBorder="1" applyAlignment="1">
      <alignment horizontal="center"/>
    </xf>
    <xf numFmtId="2" fontId="2" fillId="8" borderId="4" xfId="0" applyNumberFormat="1" applyFont="1" applyFill="1" applyBorder="1" applyAlignment="1">
      <alignment horizontal="center"/>
    </xf>
    <xf numFmtId="2" fontId="2" fillId="8" borderId="3" xfId="0" applyNumberFormat="1" applyFont="1" applyFill="1" applyBorder="1" applyAlignment="1">
      <alignment horizontal="center"/>
    </xf>
    <xf numFmtId="2" fontId="2" fillId="8" borderId="20" xfId="0" applyNumberFormat="1" applyFont="1" applyFill="1" applyBorder="1" applyAlignment="1">
      <alignment horizontal="center"/>
    </xf>
    <xf numFmtId="2" fontId="2" fillId="8" borderId="16" xfId="0" applyNumberFormat="1" applyFont="1" applyFill="1" applyBorder="1" applyAlignment="1">
      <alignment horizontal="center"/>
    </xf>
    <xf numFmtId="2" fontId="2" fillId="8" borderId="12" xfId="0" applyNumberFormat="1" applyFont="1" applyFill="1" applyBorder="1" applyAlignment="1">
      <alignment horizontal="center"/>
    </xf>
    <xf numFmtId="2" fontId="2" fillId="8" borderId="5" xfId="0" applyNumberFormat="1" applyFont="1" applyFill="1" applyBorder="1" applyAlignment="1">
      <alignment horizontal="center"/>
    </xf>
    <xf numFmtId="0" fontId="2" fillId="0" borderId="5" xfId="0" applyFont="1" applyBorder="1" applyAlignment="1">
      <alignment horizontal="center"/>
    </xf>
    <xf numFmtId="2" fontId="2" fillId="13" borderId="1" xfId="0" applyNumberFormat="1" applyFont="1" applyFill="1" applyBorder="1" applyAlignment="1">
      <alignment horizontal="center"/>
    </xf>
    <xf numFmtId="2" fontId="2" fillId="13" borderId="3" xfId="0" applyNumberFormat="1" applyFont="1" applyFill="1" applyBorder="1" applyAlignment="1">
      <alignment horizontal="center"/>
    </xf>
    <xf numFmtId="2" fontId="2" fillId="13" borderId="5" xfId="0" applyNumberFormat="1" applyFont="1" applyFill="1" applyBorder="1" applyAlignment="1">
      <alignment horizontal="center"/>
    </xf>
    <xf numFmtId="0" fontId="2" fillId="14" borderId="5" xfId="0" applyFont="1" applyFill="1" applyBorder="1" applyAlignment="1">
      <alignment horizontal="center"/>
    </xf>
    <xf numFmtId="0" fontId="2" fillId="14" borderId="12" xfId="0" applyFont="1" applyFill="1" applyBorder="1" applyAlignment="1">
      <alignment horizontal="center"/>
    </xf>
    <xf numFmtId="0" fontId="2" fillId="0" borderId="14" xfId="0" applyFont="1" applyBorder="1" applyAlignment="1">
      <alignment horizontal="center"/>
    </xf>
    <xf numFmtId="2" fontId="3" fillId="0" borderId="0" xfId="0" applyNumberFormat="1" applyFont="1" applyFill="1" applyBorder="1" applyAlignment="1">
      <alignment horizontal="right" vertical="center"/>
    </xf>
    <xf numFmtId="4" fontId="2" fillId="0" borderId="0" xfId="0" applyNumberFormat="1" applyFont="1" applyFill="1" applyBorder="1" applyAlignment="1">
      <alignment horizontal="center"/>
    </xf>
    <xf numFmtId="0" fontId="2" fillId="0" borderId="0" xfId="0" applyFont="1"/>
    <xf numFmtId="0" fontId="3" fillId="0" borderId="0" xfId="0" applyFont="1" applyAlignment="1"/>
    <xf numFmtId="4" fontId="2" fillId="10" borderId="3" xfId="0" applyNumberFormat="1" applyFont="1" applyFill="1" applyBorder="1" applyAlignment="1" applyProtection="1">
      <alignment horizontal="right" vertical="center"/>
      <protection locked="0"/>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9" xfId="0" applyFont="1" applyFill="1" applyBorder="1" applyAlignment="1">
      <alignment vertical="center" wrapText="1"/>
    </xf>
    <xf numFmtId="0" fontId="19" fillId="0" borderId="0" xfId="0" applyFont="1" applyFill="1" applyBorder="1"/>
    <xf numFmtId="0" fontId="20" fillId="0" borderId="0" xfId="0" applyFont="1" applyFill="1" applyBorder="1" applyAlignment="1">
      <alignment vertical="top"/>
    </xf>
    <xf numFmtId="0" fontId="20" fillId="0" borderId="0" xfId="0" applyFont="1" applyFill="1" applyBorder="1" applyAlignment="1">
      <alignment vertical="top" wrapText="1"/>
    </xf>
    <xf numFmtId="0" fontId="20" fillId="0" borderId="0" xfId="0" applyFont="1" applyFill="1" applyBorder="1"/>
    <xf numFmtId="0" fontId="6" fillId="0" borderId="0" xfId="0" applyFont="1" applyFill="1" applyBorder="1" applyAlignment="1">
      <alignment vertical="center" wrapText="1"/>
    </xf>
    <xf numFmtId="4" fontId="2"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xf>
    <xf numFmtId="0" fontId="8" fillId="0" borderId="0" xfId="0" applyFont="1" applyFill="1" applyBorder="1"/>
    <xf numFmtId="0" fontId="0" fillId="11" borderId="0" xfId="0" applyFill="1" applyBorder="1" applyProtection="1"/>
    <xf numFmtId="0" fontId="18" fillId="11" borderId="0" xfId="0" applyFont="1" applyFill="1" applyBorder="1" applyAlignment="1" applyProtection="1"/>
    <xf numFmtId="0" fontId="36" fillId="11" borderId="0" xfId="0" applyFont="1" applyFill="1" applyBorder="1" applyAlignment="1" applyProtection="1"/>
    <xf numFmtId="0" fontId="19" fillId="11" borderId="0" xfId="0" applyFont="1" applyFill="1" applyBorder="1" applyProtection="1"/>
    <xf numFmtId="0" fontId="19" fillId="11" borderId="26" xfId="0" applyFont="1" applyFill="1" applyBorder="1" applyProtection="1"/>
    <xf numFmtId="0" fontId="2" fillId="11" borderId="3" xfId="0" applyFont="1" applyFill="1" applyBorder="1" applyAlignment="1" applyProtection="1">
      <alignment horizontal="right"/>
    </xf>
    <xf numFmtId="0" fontId="2" fillId="11" borderId="0" xfId="0" applyFont="1" applyFill="1" applyBorder="1" applyAlignment="1" applyProtection="1">
      <alignment horizontal="left" vertical="center"/>
    </xf>
    <xf numFmtId="0" fontId="20" fillId="11" borderId="0" xfId="0" applyFont="1" applyFill="1" applyBorder="1" applyAlignment="1" applyProtection="1">
      <alignment horizontal="right" vertical="center"/>
    </xf>
    <xf numFmtId="0" fontId="20" fillId="11" borderId="26" xfId="0" applyFont="1" applyFill="1" applyBorder="1" applyAlignment="1" applyProtection="1">
      <alignment vertical="top"/>
    </xf>
    <xf numFmtId="0" fontId="20" fillId="11" borderId="0" xfId="0" applyFont="1" applyFill="1" applyBorder="1" applyAlignment="1" applyProtection="1">
      <alignment horizontal="right"/>
    </xf>
    <xf numFmtId="0" fontId="20" fillId="11" borderId="26" xfId="0" applyFont="1" applyFill="1" applyBorder="1" applyAlignment="1" applyProtection="1">
      <alignment vertical="top" wrapText="1"/>
    </xf>
    <xf numFmtId="0" fontId="20" fillId="11" borderId="0" xfId="0" applyFont="1" applyFill="1" applyBorder="1" applyAlignment="1" applyProtection="1">
      <alignment horizontal="right" vertical="center" wrapText="1"/>
    </xf>
    <xf numFmtId="0" fontId="5" fillId="11" borderId="0" xfId="0" applyFont="1" applyFill="1" applyBorder="1" applyAlignment="1" applyProtection="1">
      <alignment horizontal="center"/>
    </xf>
    <xf numFmtId="0" fontId="2" fillId="11" borderId="6" xfId="0" applyFont="1" applyFill="1" applyBorder="1" applyAlignment="1" applyProtection="1">
      <alignment horizontal="right"/>
    </xf>
    <xf numFmtId="0" fontId="2" fillId="11" borderId="0" xfId="0" applyFont="1" applyFill="1" applyBorder="1" applyAlignment="1" applyProtection="1">
      <alignment horizontal="right"/>
    </xf>
    <xf numFmtId="0" fontId="5" fillId="11" borderId="0" xfId="0" applyFont="1" applyFill="1" applyBorder="1" applyAlignment="1" applyProtection="1">
      <alignment horizontal="left"/>
    </xf>
    <xf numFmtId="0" fontId="0" fillId="11" borderId="6" xfId="0" applyFill="1" applyBorder="1" applyProtection="1"/>
    <xf numFmtId="0" fontId="9" fillId="11" borderId="6" xfId="0" applyFont="1" applyFill="1" applyBorder="1" applyAlignment="1" applyProtection="1">
      <alignment horizontal="left"/>
    </xf>
    <xf numFmtId="0" fontId="9" fillId="11" borderId="0" xfId="0" applyFont="1" applyFill="1" applyBorder="1" applyAlignment="1" applyProtection="1">
      <alignment horizontal="left"/>
    </xf>
    <xf numFmtId="0" fontId="20" fillId="11" borderId="0" xfId="0" applyFont="1" applyFill="1" applyBorder="1" applyAlignment="1" applyProtection="1">
      <alignment vertical="top" wrapText="1"/>
    </xf>
    <xf numFmtId="0" fontId="20" fillId="11" borderId="26" xfId="0" applyFont="1" applyFill="1" applyBorder="1" applyProtection="1"/>
    <xf numFmtId="0" fontId="9" fillId="11" borderId="10" xfId="0" applyFont="1" applyFill="1" applyBorder="1" applyAlignment="1" applyProtection="1">
      <alignment horizontal="left"/>
    </xf>
    <xf numFmtId="0" fontId="3" fillId="11" borderId="3" xfId="0" applyFont="1" applyFill="1" applyBorder="1" applyAlignment="1" applyProtection="1">
      <alignment horizontal="center" vertical="center" wrapText="1"/>
    </xf>
    <xf numFmtId="0" fontId="2" fillId="11" borderId="3" xfId="0" applyFont="1" applyFill="1" applyBorder="1" applyAlignment="1" applyProtection="1">
      <alignment horizontal="center" vertical="center" wrapText="1"/>
    </xf>
    <xf numFmtId="0" fontId="2" fillId="11" borderId="0" xfId="0" applyFont="1" applyFill="1" applyBorder="1" applyAlignment="1" applyProtection="1">
      <alignment horizontal="center"/>
    </xf>
    <xf numFmtId="0" fontId="20" fillId="11" borderId="0" xfId="0" applyFont="1" applyFill="1" applyBorder="1" applyAlignment="1" applyProtection="1">
      <alignment horizontal="right" vertical="top"/>
    </xf>
    <xf numFmtId="4" fontId="2" fillId="11" borderId="0" xfId="0" applyNumberFormat="1" applyFont="1" applyFill="1" applyBorder="1" applyAlignment="1" applyProtection="1">
      <alignment horizontal="center" vertical="center"/>
    </xf>
    <xf numFmtId="0" fontId="2" fillId="11" borderId="0" xfId="0" applyFont="1" applyFill="1" applyBorder="1" applyAlignment="1" applyProtection="1"/>
    <xf numFmtId="0" fontId="2" fillId="11" borderId="0" xfId="0" applyFont="1" applyFill="1" applyBorder="1" applyProtection="1"/>
    <xf numFmtId="0" fontId="0" fillId="11" borderId="26" xfId="0" applyFill="1" applyBorder="1" applyProtection="1"/>
    <xf numFmtId="0" fontId="2" fillId="11" borderId="26" xfId="0" applyFont="1" applyFill="1" applyBorder="1" applyProtection="1"/>
    <xf numFmtId="0" fontId="2" fillId="11" borderId="5" xfId="0" applyFont="1" applyFill="1" applyBorder="1" applyAlignment="1" applyProtection="1">
      <alignment horizontal="right"/>
    </xf>
    <xf numFmtId="0" fontId="2" fillId="11" borderId="5" xfId="0" applyFont="1" applyFill="1" applyBorder="1" applyAlignment="1" applyProtection="1">
      <alignment horizontal="center" wrapText="1"/>
    </xf>
    <xf numFmtId="2" fontId="2" fillId="11" borderId="16" xfId="0" applyNumberFormat="1" applyFont="1" applyFill="1" applyBorder="1" applyAlignment="1" applyProtection="1">
      <alignment horizontal="center" wrapText="1"/>
    </xf>
    <xf numFmtId="2" fontId="2" fillId="11" borderId="0" xfId="0" applyNumberFormat="1" applyFont="1" applyFill="1" applyBorder="1" applyAlignment="1" applyProtection="1">
      <alignment horizontal="center" wrapText="1"/>
    </xf>
    <xf numFmtId="4" fontId="2" fillId="11" borderId="1" xfId="0" applyNumberFormat="1" applyFont="1" applyFill="1" applyBorder="1" applyAlignment="1" applyProtection="1">
      <alignment horizontal="right" vertical="center"/>
    </xf>
    <xf numFmtId="4" fontId="2" fillId="11" borderId="10" xfId="0" applyNumberFormat="1" applyFont="1" applyFill="1" applyBorder="1" applyAlignment="1" applyProtection="1">
      <alignment horizontal="right" vertical="center"/>
    </xf>
    <xf numFmtId="4" fontId="2" fillId="11" borderId="23" xfId="0" applyNumberFormat="1" applyFont="1" applyFill="1" applyBorder="1" applyAlignment="1" applyProtection="1">
      <alignment horizontal="right" vertical="center"/>
    </xf>
    <xf numFmtId="4" fontId="2" fillId="11" borderId="0" xfId="0" applyNumberFormat="1" applyFont="1" applyFill="1" applyBorder="1" applyAlignment="1" applyProtection="1">
      <alignment horizontal="right" vertical="center"/>
    </xf>
    <xf numFmtId="2" fontId="2" fillId="11" borderId="0" xfId="0" applyNumberFormat="1" applyFont="1" applyFill="1" applyBorder="1" applyAlignment="1" applyProtection="1">
      <alignment vertical="center"/>
    </xf>
    <xf numFmtId="4" fontId="2" fillId="11" borderId="5" xfId="0" applyNumberFormat="1" applyFont="1" applyFill="1" applyBorder="1" applyAlignment="1" applyProtection="1">
      <alignment horizontal="right" vertical="center"/>
    </xf>
    <xf numFmtId="4" fontId="2" fillId="11" borderId="14" xfId="0" applyNumberFormat="1" applyFont="1" applyFill="1" applyBorder="1" applyAlignment="1" applyProtection="1">
      <alignment horizontal="right" vertical="center"/>
    </xf>
    <xf numFmtId="4" fontId="2" fillId="11" borderId="24" xfId="0" applyNumberFormat="1" applyFont="1" applyFill="1" applyBorder="1" applyAlignment="1" applyProtection="1">
      <alignment horizontal="right" vertical="center"/>
    </xf>
    <xf numFmtId="4" fontId="2" fillId="11" borderId="0" xfId="0" applyNumberFormat="1" applyFont="1" applyFill="1" applyBorder="1" applyProtection="1"/>
    <xf numFmtId="2" fontId="2" fillId="11" borderId="0" xfId="0" applyNumberFormat="1" applyFont="1" applyFill="1" applyBorder="1" applyAlignment="1" applyProtection="1">
      <alignment horizontal="right"/>
    </xf>
    <xf numFmtId="0" fontId="9" fillId="11" borderId="6" xfId="0" applyFont="1" applyFill="1" applyBorder="1" applyAlignment="1" applyProtection="1"/>
    <xf numFmtId="0" fontId="9" fillId="11" borderId="0" xfId="0" applyFont="1" applyFill="1" applyBorder="1" applyAlignment="1" applyProtection="1"/>
    <xf numFmtId="0" fontId="2" fillId="11" borderId="3" xfId="0" applyFont="1" applyFill="1" applyBorder="1" applyAlignment="1" applyProtection="1">
      <alignment horizontal="center" wrapText="1"/>
    </xf>
    <xf numFmtId="2" fontId="2" fillId="11" borderId="3" xfId="0" applyNumberFormat="1" applyFont="1" applyFill="1" applyBorder="1" applyAlignment="1" applyProtection="1">
      <alignment horizontal="center" wrapText="1"/>
    </xf>
    <xf numFmtId="0" fontId="6" fillId="11" borderId="3" xfId="0" applyFont="1" applyFill="1" applyBorder="1" applyAlignment="1" applyProtection="1">
      <alignment horizontal="center" vertical="center" wrapText="1"/>
    </xf>
    <xf numFmtId="4" fontId="3" fillId="11" borderId="3" xfId="0" applyNumberFormat="1" applyFont="1" applyFill="1" applyBorder="1" applyAlignment="1" applyProtection="1">
      <alignment horizontal="right" vertical="center"/>
    </xf>
    <xf numFmtId="4" fontId="14" fillId="11" borderId="3" xfId="0" applyNumberFormat="1" applyFont="1" applyFill="1" applyBorder="1" applyAlignment="1" applyProtection="1">
      <alignment horizontal="right" vertical="center"/>
    </xf>
    <xf numFmtId="4" fontId="3" fillId="11" borderId="0" xfId="0" applyNumberFormat="1" applyFont="1" applyFill="1" applyBorder="1" applyAlignment="1" applyProtection="1">
      <alignment horizontal="right" vertical="center"/>
    </xf>
    <xf numFmtId="2" fontId="2" fillId="4" borderId="3" xfId="0" applyNumberFormat="1" applyFont="1" applyFill="1" applyBorder="1" applyAlignment="1" applyProtection="1">
      <alignment horizontal="center"/>
    </xf>
    <xf numFmtId="4" fontId="2" fillId="11" borderId="8" xfId="0" applyNumberFormat="1" applyFont="1" applyFill="1" applyBorder="1" applyProtection="1"/>
    <xf numFmtId="0" fontId="9" fillId="5" borderId="21" xfId="0" applyFont="1" applyFill="1" applyBorder="1" applyAlignment="1" applyProtection="1"/>
    <xf numFmtId="0" fontId="9" fillId="5" borderId="19" xfId="0" applyFont="1" applyFill="1" applyBorder="1" applyAlignment="1" applyProtection="1"/>
    <xf numFmtId="0" fontId="2" fillId="5" borderId="19" xfId="0" applyFont="1" applyFill="1" applyBorder="1" applyProtection="1"/>
    <xf numFmtId="0" fontId="0" fillId="5" borderId="19" xfId="0" applyFill="1" applyBorder="1" applyProtection="1"/>
    <xf numFmtId="0" fontId="0" fillId="5" borderId="6" xfId="0" applyFill="1" applyBorder="1" applyProtection="1"/>
    <xf numFmtId="0" fontId="0" fillId="5" borderId="0" xfId="0" applyFill="1" applyBorder="1" applyProtection="1"/>
    <xf numFmtId="0" fontId="2" fillId="5" borderId="0" xfId="0" applyFont="1" applyFill="1" applyBorder="1" applyProtection="1"/>
    <xf numFmtId="0" fontId="9" fillId="5" borderId="0" xfId="0" applyFont="1" applyFill="1" applyBorder="1" applyAlignment="1" applyProtection="1"/>
    <xf numFmtId="0" fontId="9" fillId="5" borderId="0" xfId="0" applyFont="1" applyFill="1" applyBorder="1" applyAlignment="1" applyProtection="1">
      <alignment horizontal="center"/>
    </xf>
    <xf numFmtId="0" fontId="16" fillId="5" borderId="0" xfId="0" applyFont="1" applyFill="1" applyBorder="1" applyAlignment="1" applyProtection="1">
      <alignment vertical="center" wrapText="1"/>
    </xf>
    <xf numFmtId="10" fontId="16" fillId="5" borderId="0" xfId="0" applyNumberFormat="1" applyFont="1" applyFill="1" applyBorder="1" applyAlignment="1" applyProtection="1">
      <alignment vertical="center"/>
    </xf>
    <xf numFmtId="0" fontId="35" fillId="5" borderId="0" xfId="0" applyFont="1" applyFill="1" applyBorder="1" applyProtection="1"/>
    <xf numFmtId="0" fontId="16" fillId="5" borderId="13" xfId="0" applyFont="1" applyFill="1" applyBorder="1" applyAlignment="1" applyProtection="1"/>
    <xf numFmtId="0" fontId="34" fillId="5" borderId="3" xfId="0" applyFont="1" applyFill="1" applyBorder="1" applyAlignment="1" applyProtection="1">
      <alignment horizontal="center" vertical="center" wrapText="1"/>
    </xf>
    <xf numFmtId="0" fontId="16" fillId="5" borderId="3" xfId="0" applyFont="1" applyFill="1" applyBorder="1" applyAlignment="1" applyProtection="1">
      <alignment vertical="center" wrapText="1"/>
    </xf>
    <xf numFmtId="10" fontId="16" fillId="7" borderId="3" xfId="0" applyNumberFormat="1" applyFont="1" applyFill="1" applyBorder="1" applyAlignment="1" applyProtection="1">
      <alignment vertical="center"/>
    </xf>
    <xf numFmtId="4" fontId="16" fillId="7" borderId="3" xfId="0" applyNumberFormat="1" applyFont="1" applyFill="1" applyBorder="1" applyAlignment="1" applyProtection="1">
      <alignment vertical="center"/>
    </xf>
    <xf numFmtId="0" fontId="2" fillId="5" borderId="0" xfId="0" applyFont="1" applyFill="1" applyBorder="1" applyAlignment="1" applyProtection="1">
      <alignment horizontal="right"/>
    </xf>
    <xf numFmtId="4" fontId="16" fillId="5" borderId="5" xfId="0" applyNumberFormat="1" applyFont="1" applyFill="1" applyBorder="1" applyAlignment="1" applyProtection="1">
      <alignment vertical="center"/>
    </xf>
    <xf numFmtId="4" fontId="16" fillId="7" borderId="1" xfId="0" applyNumberFormat="1" applyFont="1" applyFill="1" applyBorder="1" applyAlignment="1" applyProtection="1">
      <alignment vertical="center"/>
    </xf>
    <xf numFmtId="4" fontId="16" fillId="5" borderId="0" xfId="0" applyNumberFormat="1" applyFont="1" applyFill="1" applyBorder="1" applyAlignment="1" applyProtection="1">
      <alignment horizontal="right" vertical="center"/>
    </xf>
    <xf numFmtId="0" fontId="16" fillId="5" borderId="1" xfId="0" applyFont="1" applyFill="1" applyBorder="1" applyAlignment="1" applyProtection="1">
      <alignment horizontal="right"/>
    </xf>
    <xf numFmtId="4" fontId="16" fillId="7" borderId="1" xfId="0" applyNumberFormat="1" applyFont="1" applyFill="1" applyBorder="1" applyAlignment="1" applyProtection="1">
      <alignment horizontal="right" vertical="center"/>
    </xf>
    <xf numFmtId="4" fontId="16" fillId="7" borderId="10" xfId="0" applyNumberFormat="1" applyFont="1" applyFill="1" applyBorder="1" applyAlignment="1" applyProtection="1">
      <alignment horizontal="right" vertical="center"/>
    </xf>
    <xf numFmtId="4" fontId="16" fillId="5" borderId="43" xfId="0" applyNumberFormat="1" applyFont="1" applyFill="1" applyBorder="1" applyAlignment="1" applyProtection="1">
      <alignment horizontal="right" vertical="center"/>
    </xf>
    <xf numFmtId="0" fontId="2" fillId="5" borderId="0" xfId="0" applyFont="1" applyFill="1" applyBorder="1" applyAlignment="1" applyProtection="1">
      <alignment horizontal="right" wrapText="1"/>
    </xf>
    <xf numFmtId="0" fontId="16" fillId="5" borderId="5" xfId="0" applyFont="1" applyFill="1" applyBorder="1" applyAlignment="1" applyProtection="1">
      <alignment horizontal="right"/>
    </xf>
    <xf numFmtId="4" fontId="16" fillId="7" borderId="5" xfId="0" applyNumberFormat="1" applyFont="1" applyFill="1" applyBorder="1" applyAlignment="1" applyProtection="1">
      <alignment horizontal="right" vertical="center"/>
    </xf>
    <xf numFmtId="4" fontId="16" fillId="7" borderId="14" xfId="0" applyNumberFormat="1" applyFont="1" applyFill="1" applyBorder="1" applyAlignment="1" applyProtection="1">
      <alignment horizontal="right" vertical="center"/>
    </xf>
    <xf numFmtId="4" fontId="16" fillId="5" borderId="24" xfId="0" applyNumberFormat="1" applyFont="1" applyFill="1" applyBorder="1" applyAlignment="1" applyProtection="1">
      <alignment horizontal="right" vertical="center"/>
    </xf>
    <xf numFmtId="10" fontId="7" fillId="5" borderId="3" xfId="0" applyNumberFormat="1" applyFont="1" applyFill="1" applyBorder="1" applyAlignment="1" applyProtection="1">
      <alignment horizontal="center" vertical="center"/>
    </xf>
    <xf numFmtId="0" fontId="16" fillId="5" borderId="0" xfId="0" applyFont="1" applyFill="1" applyBorder="1" applyAlignment="1" applyProtection="1">
      <alignment vertical="center"/>
    </xf>
    <xf numFmtId="4" fontId="8" fillId="5" borderId="0" xfId="0" applyNumberFormat="1" applyFont="1" applyFill="1" applyBorder="1" applyAlignment="1" applyProtection="1">
      <alignment vertical="center"/>
    </xf>
    <xf numFmtId="4" fontId="8" fillId="5" borderId="0" xfId="0" applyNumberFormat="1" applyFont="1" applyFill="1" applyBorder="1" applyAlignment="1" applyProtection="1">
      <alignment horizontal="right" vertical="center"/>
    </xf>
    <xf numFmtId="0" fontId="0" fillId="5" borderId="10" xfId="0" applyFill="1" applyBorder="1" applyProtection="1"/>
    <xf numFmtId="0" fontId="0" fillId="5" borderId="2" xfId="0" applyFill="1" applyBorder="1" applyProtection="1"/>
    <xf numFmtId="0" fontId="0" fillId="0" borderId="0" xfId="0" applyBorder="1" applyProtection="1"/>
    <xf numFmtId="166" fontId="2" fillId="10" borderId="38" xfId="0" applyNumberFormat="1" applyFont="1" applyFill="1" applyBorder="1" applyAlignment="1" applyProtection="1">
      <alignment horizontal="right" vertical="center"/>
      <protection locked="0"/>
    </xf>
    <xf numFmtId="2" fontId="2" fillId="10" borderId="39" xfId="0" applyNumberFormat="1" applyFont="1" applyFill="1" applyBorder="1" applyAlignment="1" applyProtection="1">
      <alignment horizontal="right" vertical="center"/>
      <protection locked="0"/>
    </xf>
    <xf numFmtId="2" fontId="2" fillId="0" borderId="39" xfId="0" applyNumberFormat="1" applyFont="1" applyFill="1" applyBorder="1" applyAlignment="1">
      <alignment horizontal="right" vertical="center"/>
    </xf>
    <xf numFmtId="4" fontId="2" fillId="0" borderId="39" xfId="0" applyNumberFormat="1" applyFont="1" applyFill="1" applyBorder="1" applyAlignment="1">
      <alignment horizontal="right" vertical="center"/>
    </xf>
    <xf numFmtId="4" fontId="2" fillId="10" borderId="3" xfId="0" quotePrefix="1" applyNumberFormat="1" applyFont="1" applyFill="1" applyBorder="1" applyAlignment="1" applyProtection="1">
      <alignment horizontal="right" vertical="center"/>
      <protection locked="0"/>
    </xf>
    <xf numFmtId="4" fontId="2" fillId="0" borderId="3" xfId="0" applyNumberFormat="1" applyFont="1" applyFill="1" applyBorder="1" applyAlignment="1">
      <alignment horizontal="right"/>
    </xf>
    <xf numFmtId="4" fontId="33" fillId="0" borderId="0" xfId="0" applyNumberFormat="1" applyFont="1" applyFill="1" applyBorder="1" applyAlignment="1">
      <alignment horizontal="right" vertical="center"/>
    </xf>
    <xf numFmtId="4" fontId="33" fillId="0" borderId="36" xfId="0" applyNumberFormat="1" applyFont="1" applyFill="1" applyBorder="1" applyAlignment="1">
      <alignment horizontal="right" vertical="center"/>
    </xf>
    <xf numFmtId="4" fontId="34" fillId="0" borderId="0" xfId="0" applyNumberFormat="1" applyFont="1" applyFill="1" applyBorder="1" applyAlignment="1">
      <alignment horizontal="right" vertical="center"/>
    </xf>
    <xf numFmtId="4" fontId="2" fillId="0" borderId="39" xfId="0" applyNumberFormat="1" applyFont="1" applyFill="1" applyBorder="1" applyAlignment="1">
      <alignment horizontal="right"/>
    </xf>
    <xf numFmtId="165" fontId="2" fillId="10" borderId="44" xfId="0" applyNumberFormat="1" applyFont="1" applyFill="1" applyBorder="1" applyAlignment="1" applyProtection="1">
      <alignment horizontal="right" vertical="center"/>
      <protection locked="0"/>
    </xf>
    <xf numFmtId="4" fontId="2" fillId="10" borderId="44" xfId="0" applyNumberFormat="1" applyFont="1" applyFill="1" applyBorder="1" applyAlignment="1" applyProtection="1">
      <alignment horizontal="right" vertical="center"/>
      <protection locked="0"/>
    </xf>
    <xf numFmtId="4" fontId="2" fillId="0" borderId="44" xfId="0" applyNumberFormat="1" applyFont="1" applyFill="1" applyBorder="1" applyAlignment="1">
      <alignment horizontal="right" vertical="center"/>
    </xf>
    <xf numFmtId="4" fontId="2" fillId="0" borderId="44" xfId="0" applyNumberFormat="1" applyFont="1" applyFill="1" applyBorder="1" applyAlignment="1">
      <alignment horizontal="right"/>
    </xf>
    <xf numFmtId="0" fontId="38" fillId="0" borderId="0" xfId="0" applyFont="1" applyFill="1" applyBorder="1" applyAlignment="1">
      <alignment vertical="center"/>
    </xf>
    <xf numFmtId="0" fontId="2" fillId="5" borderId="40" xfId="0" applyFont="1" applyFill="1" applyBorder="1" applyAlignment="1" applyProtection="1">
      <alignment horizontal="right" wrapText="1"/>
    </xf>
    <xf numFmtId="4" fontId="2" fillId="5" borderId="41" xfId="0" applyNumberFormat="1" applyFont="1" applyFill="1" applyBorder="1" applyAlignment="1" applyProtection="1">
      <alignment vertical="center"/>
    </xf>
    <xf numFmtId="4" fontId="34" fillId="6" borderId="1" xfId="0" applyNumberFormat="1" applyFont="1" applyFill="1" applyBorder="1" applyAlignment="1" applyProtection="1">
      <alignment vertical="center"/>
    </xf>
    <xf numFmtId="0" fontId="3" fillId="11" borderId="14" xfId="0" applyFont="1" applyFill="1" applyBorder="1" applyAlignment="1"/>
    <xf numFmtId="165" fontId="2" fillId="10" borderId="12" xfId="0" applyNumberFormat="1" applyFont="1" applyFill="1" applyBorder="1" applyAlignment="1" applyProtection="1">
      <alignment horizontal="right" vertical="center"/>
      <protection locked="0"/>
    </xf>
    <xf numFmtId="0" fontId="40" fillId="0" borderId="0" xfId="0" applyFont="1"/>
    <xf numFmtId="4" fontId="26" fillId="0" borderId="4" xfId="0" applyNumberFormat="1" applyFont="1" applyBorder="1" applyAlignment="1">
      <alignment horizontal="right" vertical="center"/>
    </xf>
    <xf numFmtId="4" fontId="26" fillId="0" borderId="3" xfId="0" applyNumberFormat="1" applyFont="1" applyBorder="1" applyAlignment="1">
      <alignment horizontal="right" vertical="center"/>
    </xf>
    <xf numFmtId="4" fontId="26" fillId="11" borderId="12" xfId="0" applyNumberFormat="1" applyFont="1" applyFill="1" applyBorder="1" applyAlignment="1">
      <alignment horizontal="right" vertical="center"/>
    </xf>
    <xf numFmtId="4" fontId="26" fillId="11" borderId="5" xfId="0" applyNumberFormat="1" applyFont="1" applyFill="1" applyBorder="1" applyAlignment="1">
      <alignment horizontal="right" vertical="center"/>
    </xf>
    <xf numFmtId="4" fontId="26" fillId="11" borderId="5" xfId="0" applyNumberFormat="1" applyFont="1" applyFill="1" applyBorder="1"/>
    <xf numFmtId="4" fontId="26" fillId="14" borderId="13" xfId="0" applyNumberFormat="1" applyFont="1" applyFill="1" applyBorder="1" applyAlignment="1">
      <alignment horizontal="right" vertical="center"/>
    </xf>
    <xf numFmtId="4" fontId="26" fillId="14" borderId="1" xfId="0" applyNumberFormat="1" applyFont="1" applyFill="1" applyBorder="1" applyAlignment="1">
      <alignment horizontal="right" vertical="center"/>
    </xf>
    <xf numFmtId="4" fontId="42" fillId="14" borderId="1" xfId="0" applyNumberFormat="1" applyFont="1" applyFill="1" applyBorder="1" applyAlignment="1">
      <alignment horizontal="right"/>
    </xf>
    <xf numFmtId="4" fontId="26" fillId="11" borderId="3" xfId="0" applyNumberFormat="1" applyFont="1" applyFill="1" applyBorder="1" applyAlignment="1">
      <alignment horizontal="right"/>
    </xf>
    <xf numFmtId="2" fontId="26" fillId="11" borderId="13" xfId="0" applyNumberFormat="1" applyFont="1" applyFill="1" applyBorder="1" applyAlignment="1">
      <alignment horizontal="right" vertical="center"/>
    </xf>
    <xf numFmtId="165" fontId="26" fillId="11" borderId="4" xfId="0" applyNumberFormat="1" applyFont="1" applyFill="1" applyBorder="1" applyAlignment="1">
      <alignment horizontal="right" vertical="center"/>
    </xf>
    <xf numFmtId="165" fontId="26" fillId="11" borderId="3" xfId="0" applyNumberFormat="1" applyFont="1" applyFill="1" applyBorder="1" applyAlignment="1">
      <alignment horizontal="right" vertical="center"/>
    </xf>
    <xf numFmtId="2" fontId="26" fillId="11" borderId="1" xfId="0" applyNumberFormat="1" applyFont="1" applyFill="1" applyBorder="1" applyAlignment="1">
      <alignment horizontal="right" vertical="center"/>
    </xf>
    <xf numFmtId="2" fontId="41" fillId="11" borderId="32" xfId="0" applyNumberFormat="1" applyFont="1" applyFill="1" applyBorder="1" applyAlignment="1">
      <alignment horizontal="right" vertical="center"/>
    </xf>
    <xf numFmtId="2" fontId="2" fillId="10" borderId="48" xfId="0" applyNumberFormat="1" applyFont="1" applyFill="1" applyBorder="1" applyAlignment="1" applyProtection="1">
      <alignment horizontal="right" vertical="center"/>
      <protection locked="0"/>
    </xf>
    <xf numFmtId="2" fontId="2" fillId="10" borderId="30" xfId="0" applyNumberFormat="1" applyFont="1" applyFill="1" applyBorder="1" applyAlignment="1" applyProtection="1">
      <alignment horizontal="right" vertical="center"/>
      <protection locked="0"/>
    </xf>
    <xf numFmtId="4" fontId="26" fillId="11" borderId="13" xfId="0" applyNumberFormat="1" applyFont="1" applyFill="1" applyBorder="1" applyAlignment="1">
      <alignment horizontal="right" vertical="center"/>
    </xf>
    <xf numFmtId="4" fontId="26" fillId="11" borderId="4" xfId="0" applyNumberFormat="1" applyFont="1" applyFill="1" applyBorder="1" applyAlignment="1">
      <alignment horizontal="right" vertical="center"/>
    </xf>
    <xf numFmtId="4" fontId="26" fillId="11" borderId="3" xfId="0" applyNumberFormat="1" applyFont="1" applyFill="1" applyBorder="1" applyAlignment="1">
      <alignment horizontal="right" vertical="center"/>
    </xf>
    <xf numFmtId="2" fontId="41" fillId="11" borderId="2" xfId="0" applyNumberFormat="1" applyFont="1" applyFill="1" applyBorder="1" applyAlignment="1">
      <alignment horizontal="right" vertical="center" wrapText="1"/>
    </xf>
    <xf numFmtId="0" fontId="16" fillId="11" borderId="20" xfId="0" applyFont="1" applyFill="1" applyBorder="1" applyAlignment="1" applyProtection="1">
      <alignment vertical="top" wrapText="1"/>
    </xf>
    <xf numFmtId="2" fontId="3" fillId="0" borderId="0" xfId="0" applyNumberFormat="1" applyFont="1" applyFill="1" applyBorder="1" applyAlignment="1">
      <alignment horizontal="righ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3" xfId="0" applyFont="1" applyFill="1" applyBorder="1" applyAlignment="1">
      <alignment horizontal="right" vertical="center"/>
    </xf>
    <xf numFmtId="0" fontId="13" fillId="0" borderId="3" xfId="0" applyFont="1" applyFill="1" applyBorder="1" applyAlignment="1">
      <alignment horizontal="right" vertical="center"/>
    </xf>
    <xf numFmtId="4" fontId="6" fillId="0" borderId="0" xfId="0" applyNumberFormat="1" applyFont="1" applyFill="1" applyBorder="1" applyAlignment="1">
      <alignment vertical="center"/>
    </xf>
    <xf numFmtId="4" fontId="42" fillId="0" borderId="0" xfId="0" applyNumberFormat="1" applyFont="1" applyFill="1" applyBorder="1" applyAlignment="1">
      <alignment horizontal="right"/>
    </xf>
    <xf numFmtId="4" fontId="0" fillId="0" borderId="0" xfId="0" applyNumberFormat="1"/>
    <xf numFmtId="4" fontId="3" fillId="3" borderId="5" xfId="0" applyNumberFormat="1" applyFont="1" applyFill="1" applyBorder="1" applyAlignment="1">
      <alignment horizontal="center" vertical="center" wrapText="1"/>
    </xf>
    <xf numFmtId="4" fontId="3" fillId="3" borderId="12" xfId="0" applyNumberFormat="1" applyFont="1" applyFill="1" applyBorder="1" applyAlignment="1">
      <alignment horizontal="center" vertical="center" wrapText="1"/>
    </xf>
    <xf numFmtId="4" fontId="2" fillId="0" borderId="3" xfId="0" applyNumberFormat="1" applyFont="1" applyBorder="1"/>
    <xf numFmtId="4" fontId="2" fillId="0" borderId="1" xfId="0" applyNumberFormat="1" applyFont="1" applyBorder="1"/>
    <xf numFmtId="4" fontId="2" fillId="3" borderId="5" xfId="0" applyNumberFormat="1" applyFont="1" applyFill="1" applyBorder="1"/>
    <xf numFmtId="4" fontId="2" fillId="0" borderId="5" xfId="0" applyNumberFormat="1" applyFont="1" applyBorder="1"/>
    <xf numFmtId="0" fontId="3" fillId="3" borderId="5" xfId="0" applyFont="1" applyFill="1" applyBorder="1" applyAlignment="1">
      <alignment wrapText="1"/>
    </xf>
    <xf numFmtId="2" fontId="3" fillId="8" borderId="4" xfId="0" applyNumberFormat="1" applyFont="1" applyFill="1" applyBorder="1" applyAlignment="1">
      <alignment horizontal="center"/>
    </xf>
    <xf numFmtId="2" fontId="3" fillId="8" borderId="3" xfId="0" applyNumberFormat="1" applyFont="1" applyFill="1" applyBorder="1" applyAlignment="1">
      <alignment horizontal="center"/>
    </xf>
    <xf numFmtId="0" fontId="2" fillId="0" borderId="0" xfId="0" applyFont="1" applyAlignment="1">
      <alignment horizontal="center" vertical="center"/>
    </xf>
    <xf numFmtId="0" fontId="4" fillId="11" borderId="21" xfId="0" applyFont="1" applyFill="1" applyBorder="1" applyAlignment="1" applyProtection="1">
      <alignment horizontal="center" vertical="center" wrapText="1"/>
    </xf>
    <xf numFmtId="0" fontId="4" fillId="11" borderId="19" xfId="0" applyFont="1" applyFill="1" applyBorder="1" applyAlignment="1" applyProtection="1">
      <alignment horizontal="center" vertical="center" wrapText="1"/>
    </xf>
    <xf numFmtId="4" fontId="16" fillId="5" borderId="7" xfId="0" applyNumberFormat="1" applyFont="1" applyFill="1" applyBorder="1" applyAlignment="1" applyProtection="1">
      <alignment horizontal="right" vertical="center" wrapText="1"/>
    </xf>
    <xf numFmtId="4" fontId="16" fillId="5" borderId="8" xfId="0" applyNumberFormat="1" applyFont="1" applyFill="1" applyBorder="1" applyAlignment="1" applyProtection="1">
      <alignment horizontal="right" vertical="center" wrapText="1"/>
    </xf>
    <xf numFmtId="4" fontId="16" fillId="5" borderId="4" xfId="0" applyNumberFormat="1" applyFont="1" applyFill="1" applyBorder="1" applyAlignment="1" applyProtection="1">
      <alignment horizontal="right" vertical="center" wrapText="1"/>
    </xf>
    <xf numFmtId="0" fontId="6" fillId="5" borderId="9" xfId="0" applyFont="1" applyFill="1" applyBorder="1" applyAlignment="1" applyProtection="1">
      <alignment horizontal="right" vertical="center"/>
    </xf>
    <xf numFmtId="0" fontId="6" fillId="5" borderId="12" xfId="0" applyFont="1" applyFill="1" applyBorder="1" applyAlignment="1" applyProtection="1">
      <alignment horizontal="right" vertical="center"/>
    </xf>
    <xf numFmtId="0" fontId="6" fillId="5" borderId="37" xfId="0" applyFont="1" applyFill="1" applyBorder="1" applyAlignment="1" applyProtection="1">
      <alignment horizontal="right" vertical="center" wrapText="1"/>
    </xf>
    <xf numFmtId="0" fontId="6" fillId="5" borderId="38" xfId="0" applyFont="1" applyFill="1" applyBorder="1" applyAlignment="1" applyProtection="1">
      <alignment horizontal="right" vertical="center" wrapText="1"/>
    </xf>
    <xf numFmtId="0" fontId="6" fillId="5" borderId="40" xfId="0" applyFont="1" applyFill="1" applyBorder="1" applyAlignment="1" applyProtection="1">
      <alignment horizontal="right" vertical="center" wrapText="1"/>
    </xf>
    <xf numFmtId="0" fontId="6" fillId="5" borderId="41" xfId="0" applyFont="1" applyFill="1" applyBorder="1" applyAlignment="1" applyProtection="1">
      <alignment horizontal="right" vertical="center" wrapText="1"/>
    </xf>
    <xf numFmtId="4" fontId="16" fillId="5" borderId="0" xfId="0" applyNumberFormat="1" applyFont="1" applyFill="1" applyBorder="1" applyAlignment="1" applyProtection="1">
      <alignment horizontal="left" vertical="center" wrapText="1"/>
    </xf>
    <xf numFmtId="0" fontId="16" fillId="5" borderId="16" xfId="0" applyFont="1" applyFill="1" applyBorder="1" applyAlignment="1" applyProtection="1">
      <alignment horizontal="center" wrapText="1"/>
    </xf>
    <xf numFmtId="0" fontId="16" fillId="5" borderId="18" xfId="0" applyFont="1" applyFill="1" applyBorder="1" applyAlignment="1" applyProtection="1">
      <alignment horizontal="center" wrapText="1"/>
    </xf>
    <xf numFmtId="2" fontId="16" fillId="5" borderId="16" xfId="0" applyNumberFormat="1" applyFont="1" applyFill="1" applyBorder="1" applyAlignment="1" applyProtection="1">
      <alignment horizontal="center" wrapText="1"/>
    </xf>
    <xf numFmtId="2" fontId="16" fillId="5" borderId="18" xfId="0" applyNumberFormat="1" applyFont="1" applyFill="1" applyBorder="1" applyAlignment="1" applyProtection="1">
      <alignment horizontal="center" wrapText="1"/>
    </xf>
    <xf numFmtId="0" fontId="16" fillId="5" borderId="16" xfId="0" applyFont="1" applyFill="1" applyBorder="1" applyAlignment="1" applyProtection="1">
      <alignment horizontal="right"/>
    </xf>
    <xf numFmtId="0" fontId="16" fillId="5" borderId="18" xfId="0" applyFont="1" applyFill="1" applyBorder="1" applyAlignment="1" applyProtection="1">
      <alignment horizontal="right"/>
    </xf>
    <xf numFmtId="0" fontId="2" fillId="10" borderId="7" xfId="0" applyFont="1" applyFill="1" applyBorder="1" applyAlignment="1" applyProtection="1">
      <alignment horizontal="left" vertical="center"/>
      <protection locked="0"/>
    </xf>
    <xf numFmtId="0" fontId="2" fillId="10" borderId="8" xfId="0" applyFont="1" applyFill="1" applyBorder="1" applyAlignment="1" applyProtection="1">
      <alignment horizontal="left" vertical="center"/>
      <protection locked="0"/>
    </xf>
    <xf numFmtId="0" fontId="2" fillId="10" borderId="4" xfId="0" applyFont="1" applyFill="1" applyBorder="1" applyAlignment="1" applyProtection="1">
      <alignment horizontal="left" vertical="center"/>
      <protection locked="0"/>
    </xf>
    <xf numFmtId="0" fontId="2" fillId="11" borderId="16" xfId="0" applyFont="1" applyFill="1" applyBorder="1" applyAlignment="1" applyProtection="1">
      <alignment horizontal="right" vertical="center" wrapText="1"/>
    </xf>
    <xf numFmtId="0" fontId="2" fillId="11" borderId="1" xfId="0" applyFont="1" applyFill="1" applyBorder="1" applyAlignment="1" applyProtection="1">
      <alignment horizontal="right" vertical="center" wrapText="1"/>
    </xf>
    <xf numFmtId="0" fontId="2" fillId="11" borderId="21" xfId="0" applyFont="1" applyFill="1" applyBorder="1" applyAlignment="1" applyProtection="1">
      <alignment horizontal="right" vertical="center" wrapText="1"/>
    </xf>
    <xf numFmtId="0" fontId="2" fillId="11" borderId="10" xfId="0" applyFont="1" applyFill="1" applyBorder="1" applyAlignment="1" applyProtection="1">
      <alignment horizontal="right" vertical="center" wrapText="1"/>
    </xf>
    <xf numFmtId="4" fontId="16" fillId="5" borderId="39" xfId="0" applyNumberFormat="1" applyFont="1" applyFill="1" applyBorder="1" applyAlignment="1" applyProtection="1">
      <alignment horizontal="right" vertical="center"/>
    </xf>
    <xf numFmtId="4" fontId="16" fillId="5" borderId="42" xfId="0" applyNumberFormat="1" applyFont="1" applyFill="1" applyBorder="1" applyAlignment="1" applyProtection="1">
      <alignment horizontal="right" vertical="center"/>
    </xf>
    <xf numFmtId="2" fontId="2" fillId="4" borderId="16" xfId="0" applyNumberFormat="1" applyFont="1" applyFill="1" applyBorder="1" applyAlignment="1" applyProtection="1">
      <alignment horizontal="center" vertical="center"/>
    </xf>
    <xf numFmtId="2" fontId="2" fillId="4" borderId="1" xfId="0" applyNumberFormat="1" applyFont="1" applyFill="1" applyBorder="1" applyAlignment="1" applyProtection="1">
      <alignment horizontal="center" vertical="center"/>
    </xf>
    <xf numFmtId="0" fontId="20" fillId="11" borderId="0" xfId="0" applyFont="1" applyFill="1" applyBorder="1" applyAlignment="1" applyProtection="1">
      <alignment horizontal="left" vertical="top" wrapText="1"/>
    </xf>
    <xf numFmtId="0" fontId="20" fillId="11" borderId="26" xfId="0" applyFont="1" applyFill="1" applyBorder="1" applyAlignment="1" applyProtection="1">
      <alignment horizontal="left" vertical="top" wrapText="1"/>
    </xf>
    <xf numFmtId="0" fontId="0" fillId="0" borderId="0" xfId="0" applyFill="1" applyBorder="1" applyAlignment="1">
      <alignment horizontal="left" vertical="center"/>
    </xf>
    <xf numFmtId="0" fontId="34" fillId="6" borderId="10" xfId="0" applyFont="1" applyFill="1" applyBorder="1" applyAlignment="1" applyProtection="1">
      <alignment horizontal="right" vertical="center"/>
    </xf>
    <xf numFmtId="0" fontId="34" fillId="6" borderId="13" xfId="0" applyFont="1" applyFill="1" applyBorder="1" applyAlignment="1" applyProtection="1">
      <alignment horizontal="right" vertical="center"/>
    </xf>
    <xf numFmtId="0" fontId="6" fillId="7" borderId="7" xfId="0" applyFont="1" applyFill="1" applyBorder="1" applyAlignment="1" applyProtection="1">
      <alignment horizontal="right" vertical="center"/>
    </xf>
    <xf numFmtId="0" fontId="6" fillId="7" borderId="4" xfId="0" applyFont="1" applyFill="1" applyBorder="1" applyAlignment="1" applyProtection="1">
      <alignment horizontal="right" vertical="center"/>
    </xf>
    <xf numFmtId="0" fontId="6" fillId="11" borderId="16" xfId="0" applyFont="1" applyFill="1" applyBorder="1" applyAlignment="1" applyProtection="1">
      <alignment horizontal="center" vertical="center" wrapText="1"/>
    </xf>
    <xf numFmtId="0" fontId="6" fillId="11" borderId="1" xfId="0" applyFont="1" applyFill="1" applyBorder="1" applyAlignment="1" applyProtection="1">
      <alignment horizontal="center" vertical="center" wrapText="1"/>
    </xf>
    <xf numFmtId="0" fontId="9" fillId="5" borderId="0" xfId="0" applyFont="1" applyFill="1" applyBorder="1" applyAlignment="1" applyProtection="1">
      <alignment horizontal="left"/>
    </xf>
    <xf numFmtId="0" fontId="0" fillId="0" borderId="8" xfId="0" applyBorder="1" applyAlignment="1" applyProtection="1">
      <alignment horizontal="center"/>
    </xf>
    <xf numFmtId="4" fontId="34" fillId="6" borderId="45" xfId="0" applyNumberFormat="1" applyFont="1" applyFill="1" applyBorder="1" applyAlignment="1" applyProtection="1">
      <alignment horizontal="center"/>
    </xf>
    <xf numFmtId="4" fontId="34" fillId="6" borderId="46" xfId="0" applyNumberFormat="1" applyFont="1" applyFill="1" applyBorder="1" applyAlignment="1" applyProtection="1">
      <alignment horizontal="center"/>
    </xf>
    <xf numFmtId="0" fontId="9" fillId="11" borderId="10" xfId="0" applyFont="1" applyFill="1" applyBorder="1" applyAlignment="1" applyProtection="1">
      <alignment horizontal="left"/>
    </xf>
    <xf numFmtId="0" fontId="9" fillId="11" borderId="2" xfId="0" applyFont="1" applyFill="1" applyBorder="1" applyAlignment="1" applyProtection="1">
      <alignment horizontal="left"/>
    </xf>
    <xf numFmtId="0" fontId="20" fillId="11" borderId="0" xfId="0" applyFont="1" applyFill="1" applyBorder="1" applyAlignment="1" applyProtection="1">
      <alignment horizontal="left" vertical="center"/>
    </xf>
    <xf numFmtId="0" fontId="20" fillId="11" borderId="0" xfId="0" applyFont="1" applyFill="1" applyBorder="1" applyAlignment="1" applyProtection="1">
      <alignment horizontal="left" vertical="center" wrapText="1"/>
    </xf>
    <xf numFmtId="0" fontId="9" fillId="11" borderId="6" xfId="0" applyFont="1" applyFill="1" applyBorder="1" applyAlignment="1" applyProtection="1">
      <alignment horizontal="left"/>
    </xf>
    <xf numFmtId="0" fontId="9" fillId="11" borderId="0" xfId="0" applyFont="1" applyFill="1" applyBorder="1" applyAlignment="1" applyProtection="1">
      <alignment horizontal="left"/>
    </xf>
    <xf numFmtId="4" fontId="2" fillId="10" borderId="3" xfId="0" applyNumberFormat="1" applyFont="1" applyFill="1" applyBorder="1" applyAlignment="1" applyProtection="1">
      <alignment horizontal="left" vertical="center"/>
      <protection locked="0"/>
    </xf>
    <xf numFmtId="4" fontId="2" fillId="10" borderId="16" xfId="0" applyNumberFormat="1" applyFont="1" applyFill="1" applyBorder="1" applyAlignment="1" applyProtection="1">
      <alignment horizontal="right" vertical="center"/>
      <protection locked="0"/>
    </xf>
    <xf numFmtId="4" fontId="2" fillId="10" borderId="1" xfId="0" applyNumberFormat="1" applyFont="1" applyFill="1" applyBorder="1" applyAlignment="1" applyProtection="1">
      <alignment horizontal="right" vertical="center"/>
      <protection locked="0"/>
    </xf>
    <xf numFmtId="4" fontId="2" fillId="10" borderId="3" xfId="0" applyNumberFormat="1" applyFont="1" applyFill="1" applyBorder="1" applyAlignment="1" applyProtection="1">
      <alignment horizontal="right" vertical="center"/>
      <protection locked="0"/>
    </xf>
    <xf numFmtId="0" fontId="6" fillId="7" borderId="10" xfId="0" applyFont="1" applyFill="1" applyBorder="1" applyAlignment="1" applyProtection="1">
      <alignment horizontal="right" vertical="center"/>
    </xf>
    <xf numFmtId="0" fontId="6" fillId="7" borderId="13" xfId="0" applyFont="1" applyFill="1" applyBorder="1" applyAlignment="1" applyProtection="1">
      <alignment horizontal="right" vertical="center"/>
    </xf>
    <xf numFmtId="4" fontId="2" fillId="11" borderId="16" xfId="0" applyNumberFormat="1" applyFont="1" applyFill="1" applyBorder="1" applyAlignment="1" applyProtection="1">
      <alignment horizontal="center" vertical="center"/>
    </xf>
    <xf numFmtId="4" fontId="2" fillId="11" borderId="1" xfId="0" applyNumberFormat="1" applyFont="1" applyFill="1" applyBorder="1" applyAlignment="1" applyProtection="1">
      <alignment horizontal="center" vertical="center"/>
    </xf>
    <xf numFmtId="0" fontId="1" fillId="0" borderId="0" xfId="0" applyFont="1" applyFill="1" applyBorder="1" applyAlignment="1">
      <alignment horizontal="center" vertical="center" wrapText="1"/>
    </xf>
    <xf numFmtId="49" fontId="10" fillId="0" borderId="10" xfId="0" applyNumberFormat="1" applyFont="1" applyBorder="1" applyAlignment="1">
      <alignment horizontal="center" vertical="center"/>
    </xf>
    <xf numFmtId="49" fontId="10" fillId="0" borderId="13" xfId="0" applyNumberFormat="1" applyFont="1" applyBorder="1" applyAlignment="1">
      <alignment horizontal="center" vertical="center"/>
    </xf>
    <xf numFmtId="2" fontId="2" fillId="11" borderId="9" xfId="0" applyNumberFormat="1" applyFont="1" applyFill="1" applyBorder="1" applyAlignment="1">
      <alignment horizontal="center" vertical="center" wrapText="1"/>
    </xf>
    <xf numFmtId="2" fontId="2" fillId="11" borderId="12" xfId="0" applyNumberFormat="1" applyFont="1" applyFill="1" applyBorder="1" applyAlignment="1">
      <alignment horizontal="center" vertical="center"/>
    </xf>
    <xf numFmtId="49" fontId="10" fillId="0" borderId="9" xfId="0" applyNumberFormat="1" applyFont="1" applyBorder="1" applyAlignment="1">
      <alignment horizontal="center" vertical="center"/>
    </xf>
    <xf numFmtId="49" fontId="10" fillId="0" borderId="12" xfId="0" applyNumberFormat="1" applyFont="1" applyBorder="1" applyAlignment="1">
      <alignment horizontal="center" vertical="center"/>
    </xf>
    <xf numFmtId="2" fontId="3" fillId="11" borderId="3" xfId="0" applyNumberFormat="1" applyFont="1" applyFill="1" applyBorder="1" applyAlignment="1">
      <alignment horizontal="center" vertical="center" wrapText="1"/>
    </xf>
    <xf numFmtId="2" fontId="3" fillId="11" borderId="5" xfId="0" applyNumberFormat="1" applyFont="1" applyFill="1" applyBorder="1" applyAlignment="1">
      <alignment horizontal="center" vertical="center" wrapText="1"/>
    </xf>
    <xf numFmtId="2" fontId="3" fillId="11" borderId="16" xfId="0" applyNumberFormat="1" applyFont="1" applyFill="1" applyBorder="1" applyAlignment="1">
      <alignment horizontal="center" vertical="center" wrapText="1"/>
    </xf>
    <xf numFmtId="2" fontId="3" fillId="11" borderId="17" xfId="0" applyNumberFormat="1" applyFont="1" applyFill="1" applyBorder="1" applyAlignment="1">
      <alignment horizontal="center" vertical="center"/>
    </xf>
    <xf numFmtId="2" fontId="3" fillId="11" borderId="18"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0" fontId="3" fillId="11" borderId="44" xfId="0" applyFont="1" applyFill="1" applyBorder="1" applyAlignment="1">
      <alignment horizontal="right"/>
    </xf>
    <xf numFmtId="0" fontId="3" fillId="11" borderId="3" xfId="0" applyFont="1" applyFill="1" applyBorder="1" applyAlignment="1">
      <alignment horizontal="right"/>
    </xf>
    <xf numFmtId="0" fontId="3" fillId="11" borderId="39" xfId="0" applyFont="1" applyFill="1" applyBorder="1" applyAlignment="1">
      <alignment horizontal="right"/>
    </xf>
    <xf numFmtId="0" fontId="3" fillId="11" borderId="10" xfId="0" applyFont="1" applyFill="1" applyBorder="1" applyAlignment="1">
      <alignment horizontal="right"/>
    </xf>
    <xf numFmtId="0" fontId="3" fillId="11" borderId="13" xfId="0" applyFont="1" applyFill="1" applyBorder="1" applyAlignment="1">
      <alignment horizontal="right"/>
    </xf>
    <xf numFmtId="0" fontId="3" fillId="0" borderId="0" xfId="0" applyFont="1" applyFill="1" applyBorder="1" applyAlignment="1">
      <alignment horizontal="left" vertical="center" wrapText="1"/>
    </xf>
    <xf numFmtId="2" fontId="3" fillId="0" borderId="0" xfId="0" applyNumberFormat="1" applyFont="1" applyFill="1" applyBorder="1" applyAlignment="1">
      <alignment horizontal="right" vertical="center"/>
    </xf>
    <xf numFmtId="0" fontId="19" fillId="0" borderId="0" xfId="0" applyFont="1" applyFill="1" applyBorder="1" applyAlignment="1">
      <alignment horizontal="left" vertical="top" wrapText="1"/>
    </xf>
    <xf numFmtId="49" fontId="2" fillId="10" borderId="35" xfId="0" applyNumberFormat="1" applyFont="1" applyFill="1" applyBorder="1" applyAlignment="1" applyProtection="1">
      <alignment horizontal="center" vertical="center"/>
      <protection locked="0"/>
    </xf>
    <xf numFmtId="49" fontId="2" fillId="10" borderId="31" xfId="0" applyNumberFormat="1" applyFont="1" applyFill="1" applyBorder="1" applyAlignment="1" applyProtection="1">
      <alignment horizontal="center" vertical="center"/>
      <protection locked="0"/>
    </xf>
    <xf numFmtId="0" fontId="3" fillId="11" borderId="7" xfId="0" applyFont="1" applyFill="1" applyBorder="1" applyAlignment="1">
      <alignment horizontal="right"/>
    </xf>
    <xf numFmtId="0" fontId="3" fillId="11" borderId="4" xfId="0" applyFont="1" applyFill="1" applyBorder="1" applyAlignment="1">
      <alignment horizontal="right"/>
    </xf>
    <xf numFmtId="4" fontId="34" fillId="0" borderId="36" xfId="0" applyNumberFormat="1" applyFont="1" applyFill="1" applyBorder="1" applyAlignment="1">
      <alignment horizontal="right"/>
    </xf>
    <xf numFmtId="4" fontId="34" fillId="0" borderId="0" xfId="0" applyNumberFormat="1" applyFont="1" applyFill="1" applyBorder="1" applyAlignment="1">
      <alignment horizontal="right"/>
    </xf>
    <xf numFmtId="2" fontId="12" fillId="0" borderId="9" xfId="0" applyNumberFormat="1" applyFont="1" applyFill="1" applyBorder="1" applyAlignment="1">
      <alignment horizontal="left"/>
    </xf>
    <xf numFmtId="2" fontId="12" fillId="0" borderId="12" xfId="0" applyNumberFormat="1" applyFont="1" applyFill="1" applyBorder="1" applyAlignment="1">
      <alignment horizontal="left"/>
    </xf>
    <xf numFmtId="0" fontId="7" fillId="10" borderId="1" xfId="0" applyFont="1" applyFill="1" applyBorder="1" applyAlignment="1" applyProtection="1">
      <alignment horizontal="left" vertical="center"/>
      <protection locked="0"/>
    </xf>
    <xf numFmtId="2" fontId="26" fillId="0" borderId="0" xfId="0" applyNumberFormat="1" applyFont="1" applyFill="1" applyBorder="1" applyAlignment="1">
      <alignment horizontal="right" vertical="center" wrapText="1"/>
    </xf>
    <xf numFmtId="0" fontId="7" fillId="10" borderId="3" xfId="0" applyFont="1" applyFill="1" applyBorder="1" applyAlignment="1" applyProtection="1">
      <alignment horizontal="left" vertical="center"/>
      <protection locked="0"/>
    </xf>
    <xf numFmtId="0" fontId="7" fillId="10" borderId="10" xfId="0" applyFont="1" applyFill="1" applyBorder="1" applyAlignment="1" applyProtection="1">
      <alignment horizontal="left" vertical="center"/>
      <protection locked="0"/>
    </xf>
    <xf numFmtId="0" fontId="7" fillId="10" borderId="13" xfId="0" applyFont="1" applyFill="1" applyBorder="1" applyAlignment="1" applyProtection="1">
      <alignment horizontal="left" vertical="center"/>
      <protection locked="0"/>
    </xf>
    <xf numFmtId="2" fontId="3" fillId="0" borderId="7" xfId="0" applyNumberFormat="1" applyFont="1" applyFill="1" applyBorder="1" applyAlignment="1">
      <alignment horizontal="right" vertical="center" wrapText="1"/>
    </xf>
    <xf numFmtId="2" fontId="3" fillId="0" borderId="4" xfId="0" applyNumberFormat="1" applyFont="1" applyFill="1" applyBorder="1" applyAlignment="1">
      <alignment horizontal="right" vertical="center" wrapText="1"/>
    </xf>
    <xf numFmtId="0" fontId="1" fillId="0" borderId="0" xfId="0" applyFont="1" applyFill="1" applyAlignment="1">
      <alignment horizontal="center" vertical="top" wrapText="1"/>
    </xf>
    <xf numFmtId="0" fontId="24" fillId="0" borderId="0" xfId="0" applyFont="1" applyFill="1" applyBorder="1" applyAlignment="1">
      <alignment horizontal="left" vertical="top" wrapText="1"/>
    </xf>
    <xf numFmtId="0" fontId="24" fillId="0" borderId="2" xfId="0" applyFont="1" applyFill="1" applyBorder="1" applyAlignment="1">
      <alignment horizontal="left" vertical="top" wrapText="1"/>
    </xf>
    <xf numFmtId="2" fontId="13" fillId="4" borderId="3" xfId="0" applyNumberFormat="1" applyFont="1" applyFill="1" applyBorder="1" applyAlignment="1">
      <alignment horizontal="left" vertical="center"/>
    </xf>
    <xf numFmtId="0" fontId="41" fillId="11" borderId="3" xfId="0" applyFont="1" applyFill="1" applyBorder="1" applyAlignment="1">
      <alignment horizontal="right" wrapText="1"/>
    </xf>
    <xf numFmtId="0" fontId="41" fillId="11" borderId="11" xfId="0" applyFont="1" applyFill="1" applyBorder="1" applyAlignment="1">
      <alignment horizontal="right" wrapText="1"/>
    </xf>
    <xf numFmtId="2" fontId="19" fillId="0" borderId="0" xfId="0" applyNumberFormat="1" applyFont="1" applyFill="1" applyBorder="1" applyAlignment="1">
      <alignment horizontal="left" vertical="top" wrapText="1"/>
    </xf>
    <xf numFmtId="0" fontId="3" fillId="11" borderId="3" xfId="0" applyFont="1" applyFill="1" applyBorder="1" applyAlignment="1">
      <alignment horizontal="right" vertical="center" wrapText="1"/>
    </xf>
    <xf numFmtId="0" fontId="3" fillId="11" borderId="5" xfId="0" applyFont="1" applyFill="1" applyBorder="1" applyAlignment="1">
      <alignment horizontal="right" vertical="center" wrapText="1"/>
    </xf>
    <xf numFmtId="2" fontId="41" fillId="11" borderId="3" xfId="0" applyNumberFormat="1" applyFont="1" applyFill="1" applyBorder="1" applyAlignment="1">
      <alignment horizontal="right" vertical="center" wrapText="1"/>
    </xf>
    <xf numFmtId="2" fontId="41" fillId="11" borderId="11" xfId="0" applyNumberFormat="1" applyFont="1" applyFill="1" applyBorder="1" applyAlignment="1">
      <alignment horizontal="right" vertical="center" wrapText="1"/>
    </xf>
    <xf numFmtId="0" fontId="41" fillId="11" borderId="2" xfId="0" applyFont="1" applyFill="1" applyBorder="1" applyAlignment="1">
      <alignment horizontal="right"/>
    </xf>
    <xf numFmtId="0" fontId="41" fillId="11" borderId="32" xfId="0" applyFont="1" applyFill="1" applyBorder="1" applyAlignment="1">
      <alignment horizontal="right"/>
    </xf>
    <xf numFmtId="0" fontId="41" fillId="11" borderId="29" xfId="0" applyFont="1" applyFill="1" applyBorder="1" applyAlignment="1">
      <alignment horizontal="right" vertical="center"/>
    </xf>
    <xf numFmtId="0" fontId="41" fillId="11" borderId="33" xfId="0" applyFont="1" applyFill="1" applyBorder="1" applyAlignment="1">
      <alignment horizontal="right" vertical="center"/>
    </xf>
    <xf numFmtId="0" fontId="7" fillId="11" borderId="30" xfId="0" applyFont="1" applyFill="1" applyBorder="1" applyAlignment="1">
      <alignment horizontal="right" wrapText="1"/>
    </xf>
    <xf numFmtId="0" fontId="16" fillId="11" borderId="47" xfId="0" applyFont="1" applyFill="1" applyBorder="1" applyAlignment="1">
      <alignment horizontal="right" wrapText="1"/>
    </xf>
    <xf numFmtId="0" fontId="3" fillId="0" borderId="0" xfId="0" applyFont="1" applyAlignment="1">
      <alignment horizontal="left"/>
    </xf>
    <xf numFmtId="2" fontId="39" fillId="11" borderId="3" xfId="0" applyNumberFormat="1" applyFont="1" applyFill="1" applyBorder="1" applyAlignment="1">
      <alignment horizontal="right" vertical="center" wrapText="1"/>
    </xf>
    <xf numFmtId="2" fontId="39" fillId="11" borderId="11" xfId="0" applyNumberFormat="1" applyFont="1" applyFill="1" applyBorder="1" applyAlignment="1">
      <alignment horizontal="right" vertical="center" wrapText="1"/>
    </xf>
    <xf numFmtId="0" fontId="2" fillId="11" borderId="29" xfId="0" applyFont="1" applyFill="1" applyBorder="1" applyAlignment="1">
      <alignment horizontal="right" vertical="center"/>
    </xf>
    <xf numFmtId="0" fontId="2" fillId="11" borderId="33" xfId="0" applyFont="1" applyFill="1" applyBorder="1" applyAlignment="1">
      <alignment horizontal="right" vertical="center"/>
    </xf>
    <xf numFmtId="2" fontId="41" fillId="11" borderId="34" xfId="0" applyNumberFormat="1" applyFont="1" applyFill="1" applyBorder="1" applyAlignment="1">
      <alignment horizontal="right" vertical="center" wrapText="1"/>
    </xf>
    <xf numFmtId="2" fontId="41" fillId="11" borderId="32" xfId="0" applyNumberFormat="1" applyFont="1" applyFill="1" applyBorder="1" applyAlignment="1">
      <alignment horizontal="right" vertical="center" wrapText="1"/>
    </xf>
    <xf numFmtId="2" fontId="41" fillId="14" borderId="3" xfId="0" applyNumberFormat="1" applyFont="1" applyFill="1" applyBorder="1" applyAlignment="1">
      <alignment horizontal="right" vertical="center" wrapText="1"/>
    </xf>
    <xf numFmtId="2" fontId="41" fillId="14" borderId="11" xfId="0" applyNumberFormat="1" applyFont="1" applyFill="1" applyBorder="1" applyAlignment="1">
      <alignment horizontal="right" vertical="center" wrapText="1"/>
    </xf>
    <xf numFmtId="2" fontId="2" fillId="11" borderId="9" xfId="0" applyNumberFormat="1" applyFont="1" applyFill="1" applyBorder="1" applyAlignment="1">
      <alignment horizontal="center" vertical="center"/>
    </xf>
    <xf numFmtId="2" fontId="12" fillId="0" borderId="35" xfId="0" applyNumberFormat="1" applyFont="1" applyFill="1" applyBorder="1" applyAlignment="1">
      <alignment horizontal="left"/>
    </xf>
    <xf numFmtId="2" fontId="12" fillId="0" borderId="31" xfId="0" applyNumberFormat="1" applyFont="1" applyFill="1" applyBorder="1" applyAlignment="1">
      <alignment horizontal="left"/>
    </xf>
    <xf numFmtId="1" fontId="2" fillId="10" borderId="7" xfId="0" applyNumberFormat="1" applyFont="1" applyFill="1" applyBorder="1" applyAlignment="1" applyProtection="1">
      <alignment horizontal="center"/>
      <protection locked="0"/>
    </xf>
    <xf numFmtId="1" fontId="2" fillId="10" borderId="4" xfId="0" applyNumberFormat="1" applyFont="1" applyFill="1" applyBorder="1" applyAlignment="1" applyProtection="1">
      <alignment horizontal="center"/>
      <protection locked="0"/>
    </xf>
    <xf numFmtId="4" fontId="26" fillId="0" borderId="0" xfId="0" applyNumberFormat="1" applyFont="1" applyBorder="1" applyAlignment="1">
      <alignment horizontal="right" vertical="center"/>
    </xf>
    <xf numFmtId="49" fontId="10" fillId="0" borderId="35" xfId="0" applyNumberFormat="1" applyFont="1" applyFill="1" applyBorder="1" applyAlignment="1">
      <alignment horizontal="center" vertical="center"/>
    </xf>
    <xf numFmtId="49" fontId="10" fillId="0" borderId="31" xfId="0" applyNumberFormat="1" applyFont="1" applyFill="1" applyBorder="1" applyAlignment="1">
      <alignment horizontal="center" vertical="center"/>
    </xf>
    <xf numFmtId="2" fontId="10" fillId="0" borderId="9" xfId="0" applyNumberFormat="1" applyFont="1" applyFill="1" applyBorder="1" applyAlignment="1">
      <alignment horizontal="center" vertical="center"/>
    </xf>
    <xf numFmtId="2" fontId="10" fillId="0" borderId="12" xfId="0" applyNumberFormat="1" applyFont="1" applyFill="1" applyBorder="1" applyAlignment="1">
      <alignment horizontal="center" vertical="center"/>
    </xf>
    <xf numFmtId="1" fontId="2" fillId="10" borderId="35" xfId="0" applyNumberFormat="1" applyFont="1" applyFill="1" applyBorder="1" applyAlignment="1" applyProtection="1">
      <alignment horizontal="center"/>
      <protection locked="0"/>
    </xf>
    <xf numFmtId="1" fontId="2" fillId="10" borderId="31" xfId="0" applyNumberFormat="1" applyFont="1" applyFill="1" applyBorder="1" applyAlignment="1" applyProtection="1">
      <alignment horizontal="center"/>
      <protection locked="0"/>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2" borderId="4" xfId="0" applyFont="1" applyFill="1" applyBorder="1" applyAlignment="1">
      <alignment horizontal="center" wrapText="1"/>
    </xf>
    <xf numFmtId="0" fontId="4" fillId="2" borderId="3" xfId="0" applyFont="1" applyFill="1" applyBorder="1" applyAlignment="1">
      <alignment horizont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3" fillId="11" borderId="0" xfId="0" applyFont="1" applyFill="1" applyBorder="1" applyAlignment="1" applyProtection="1">
      <alignment horizontal="left" vertical="top" wrapText="1"/>
    </xf>
    <xf numFmtId="0" fontId="43" fillId="11" borderId="26" xfId="0" applyFont="1" applyFill="1" applyBorder="1" applyAlignment="1" applyProtection="1">
      <alignment horizontal="left" vertical="top" wrapText="1"/>
    </xf>
  </cellXfs>
  <cellStyles count="1">
    <cellStyle name="Standard" xfId="0" builtinId="0"/>
  </cellStyles>
  <dxfs count="5">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7</xdr:col>
          <xdr:colOff>819150</xdr:colOff>
          <xdr:row>24</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sp>
        <xdr:clientData fLocksWithSheet="0"/>
      </xdr:twoCellAnchor>
    </mc:Choice>
    <mc:Fallback/>
  </mc:AlternateContent>
  <xdr:twoCellAnchor>
    <xdr:from>
      <xdr:col>0</xdr:col>
      <xdr:colOff>215900</xdr:colOff>
      <xdr:row>23</xdr:row>
      <xdr:rowOff>101600</xdr:rowOff>
    </xdr:from>
    <xdr:to>
      <xdr:col>10</xdr:col>
      <xdr:colOff>19050</xdr:colOff>
      <xdr:row>25</xdr:row>
      <xdr:rowOff>6350</xdr:rowOff>
    </xdr:to>
    <xdr:sp macro="" textlink="">
      <xdr:nvSpPr>
        <xdr:cNvPr id="10244" name="Text Box 4">
          <a:extLst>
            <a:ext uri="{FF2B5EF4-FFF2-40B4-BE49-F238E27FC236}">
              <a16:creationId xmlns:a16="http://schemas.microsoft.com/office/drawing/2014/main" id="{2F45816A-04A1-D797-0192-69DD3753160D}"/>
            </a:ext>
          </a:extLst>
        </xdr:cNvPr>
        <xdr:cNvSpPr txBox="1">
          <a:spLocks noChangeArrowheads="1"/>
        </xdr:cNvSpPr>
      </xdr:nvSpPr>
      <xdr:spPr bwMode="auto">
        <a:xfrm>
          <a:off x="215900" y="5664200"/>
          <a:ext cx="7150100" cy="285750"/>
        </a:xfrm>
        <a:prstGeom prst="rect">
          <a:avLst/>
        </a:prstGeom>
        <a:noFill/>
        <a:ln w="9525">
          <a:noFill/>
          <a:miter lim="800000"/>
          <a:headEnd/>
          <a:tailEnd/>
        </a:ln>
      </xdr:spPr>
      <xdr:txBody>
        <a:bodyPr vertOverflow="clip" wrap="square" lIns="36576" tIns="36576" rIns="0" bIns="0" anchor="t" upright="1"/>
        <a:lstStyle/>
        <a:p>
          <a:pPr algn="l" rtl="0">
            <a:defRPr sz="1000"/>
          </a:pPr>
          <a:r>
            <a:rPr lang="de-DE" sz="1050" b="0" i="0" u="none" strike="noStrike" baseline="0">
              <a:solidFill>
                <a:srgbClr val="000000"/>
              </a:solidFill>
              <a:latin typeface="Arial" panose="020B0604020202020204" pitchFamily="34" charset="0"/>
              <a:cs typeface="Arial" panose="020B0604020202020204" pitchFamily="34" charset="0"/>
            </a:rPr>
            <a:t>ich bewirtschafte keine Fläche in der Frostkulisse und füge dem Antrag Nachweise für Frostschäden bei</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400050</xdr:colOff>
          <xdr:row>29</xdr:row>
          <xdr:rowOff>85725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sp>
        <xdr:clientData fLocksWithSheet="0"/>
      </xdr:twoCellAnchor>
    </mc:Choice>
    <mc:Fallback/>
  </mc:AlternateContent>
  <xdr:oneCellAnchor>
    <xdr:from>
      <xdr:col>9</xdr:col>
      <xdr:colOff>256442</xdr:colOff>
      <xdr:row>28</xdr:row>
      <xdr:rowOff>117230</xdr:rowOff>
    </xdr:from>
    <xdr:ext cx="184731" cy="264560"/>
    <xdr:sp macro="" textlink="">
      <xdr:nvSpPr>
        <xdr:cNvPr id="2" name="Textfeld 1">
          <a:extLst>
            <a:ext uri="{FF2B5EF4-FFF2-40B4-BE49-F238E27FC236}">
              <a16:creationId xmlns:a16="http://schemas.microsoft.com/office/drawing/2014/main" id="{1B245D6C-276C-DFB9-6579-6C70330FB0E4}"/>
            </a:ext>
          </a:extLst>
        </xdr:cNvPr>
        <xdr:cNvSpPr txBox="1"/>
      </xdr:nvSpPr>
      <xdr:spPr>
        <a:xfrm>
          <a:off x="8748346" y="576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0</xdr:col>
      <xdr:colOff>190500</xdr:colOff>
      <xdr:row>28</xdr:row>
      <xdr:rowOff>21981</xdr:rowOff>
    </xdr:from>
    <xdr:to>
      <xdr:col>7</xdr:col>
      <xdr:colOff>627575</xdr:colOff>
      <xdr:row>29</xdr:row>
      <xdr:rowOff>117231</xdr:rowOff>
    </xdr:to>
    <xdr:sp macro="" textlink="">
      <xdr:nvSpPr>
        <xdr:cNvPr id="5" name="Text Box 4">
          <a:extLst>
            <a:ext uri="{FF2B5EF4-FFF2-40B4-BE49-F238E27FC236}">
              <a16:creationId xmlns:a16="http://schemas.microsoft.com/office/drawing/2014/main" id="{7BC53770-98C8-4B2E-924E-A16616166DAE}"/>
            </a:ext>
          </a:extLst>
        </xdr:cNvPr>
        <xdr:cNvSpPr txBox="1">
          <a:spLocks noChangeArrowheads="1"/>
        </xdr:cNvSpPr>
      </xdr:nvSpPr>
      <xdr:spPr bwMode="auto">
        <a:xfrm>
          <a:off x="190500" y="5671039"/>
          <a:ext cx="7141210" cy="285750"/>
        </a:xfrm>
        <a:prstGeom prst="rect">
          <a:avLst/>
        </a:prstGeom>
        <a:noFill/>
        <a:ln w="9525">
          <a:noFill/>
          <a:miter lim="800000"/>
          <a:headEnd/>
          <a:tailEnd/>
        </a:ln>
      </xdr:spPr>
      <xdr:txBody>
        <a:bodyPr vertOverflow="clip" wrap="square" lIns="36576" tIns="36576" rIns="0" bIns="0" anchor="t" upright="1"/>
        <a:lstStyle/>
        <a:p>
          <a:pPr algn="l" rtl="0">
            <a:defRPr sz="1000"/>
          </a:pPr>
          <a:r>
            <a:rPr lang="de-DE" sz="1050" b="0" i="0" u="none" strike="noStrike" baseline="0">
              <a:solidFill>
                <a:srgbClr val="000000"/>
              </a:solidFill>
              <a:latin typeface="Arial" panose="020B0604020202020204" pitchFamily="34" charset="0"/>
              <a:cs typeface="Arial" panose="020B0604020202020204" pitchFamily="34" charset="0"/>
            </a:rPr>
            <a:t>ich bewirtschafte keine Fläche in der Frostkulisse und füge dem Antrag Nachweise für Frostschäden bei</a:t>
          </a:r>
        </a:p>
      </xdr:txBody>
    </xdr:sp>
    <xdr:clientData/>
  </xdr:twoCellAnchor>
</xdr:wsDr>
</file>

<file path=xl/persons/person.xml><?xml version="1.0" encoding="utf-8"?>
<personList xmlns="http://schemas.microsoft.com/office/spreadsheetml/2018/threadedcomments" xmlns:x="http://schemas.openxmlformats.org/spreadsheetml/2006/main">
  <person displayName="Hirsche, Jörg, Dr. (StMELF)" id="{708F5BB6-155F-4FD0-8D3C-EC19BB13D367}" userId="Hirsche, Jörg, Dr. (StMELF)"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8" dT="2024-11-28T14:20:14.41" personId="{708F5BB6-155F-4FD0-8D3C-EC19BB13D367}" id="{156CCE0F-3C74-4915-AACE-9E458F4FCBB3}">
    <text>Selbstpflücke verursacht keine Erntekosten.</text>
  </threadedComment>
  <threadedComment ref="H59" dT="2024-11-28T14:20:18.56" personId="{708F5BB6-155F-4FD0-8D3C-EC19BB13D367}" id="{29035BAE-C9E2-4499-AB99-A49C05CE6673}">
    <text>Selbstpflücke verursacht keine Erntekosten.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149F1-28BD-4578-855B-323BA2011336}">
  <sheetPr codeName="Tabelle2"/>
  <dimension ref="A1:N42"/>
  <sheetViews>
    <sheetView view="pageBreakPreview" zoomScale="160" zoomScaleNormal="145" zoomScaleSheetLayoutView="160" workbookViewId="0">
      <selection activeCell="B7" sqref="B7:D7"/>
    </sheetView>
  </sheetViews>
  <sheetFormatPr baseColWidth="10" defaultColWidth="0" defaultRowHeight="15" x14ac:dyDescent="0.25"/>
  <cols>
    <col min="1" max="1" width="24.5703125" style="250" customWidth="1"/>
    <col min="2" max="2" width="18" style="250" customWidth="1"/>
    <col min="3" max="3" width="17.5703125" style="250" customWidth="1"/>
    <col min="4" max="4" width="15" style="250" customWidth="1"/>
    <col min="5" max="5" width="5.140625" style="250" customWidth="1"/>
    <col min="6" max="6" width="3.85546875" style="250" customWidth="1"/>
    <col min="7" max="7" width="19.7109375" style="250" customWidth="1"/>
    <col min="8" max="11" width="12" style="250" customWidth="1"/>
    <col min="12" max="12" width="12" style="8" hidden="1" customWidth="1"/>
    <col min="13" max="13" width="5.7109375" style="8" hidden="1" customWidth="1"/>
    <col min="14" max="14" width="77.28515625" style="8" hidden="1" customWidth="1"/>
    <col min="15" max="16384" width="11.42578125" style="8" hidden="1"/>
  </cols>
  <sheetData>
    <row r="1" spans="1:14" ht="47.25" customHeight="1" x14ac:dyDescent="0.25">
      <c r="A1" s="311" t="s">
        <v>247</v>
      </c>
      <c r="B1" s="312"/>
      <c r="C1" s="312"/>
      <c r="D1" s="312"/>
      <c r="E1" s="312"/>
      <c r="F1" s="312"/>
      <c r="G1" s="312"/>
      <c r="H1" s="312"/>
      <c r="I1" s="312"/>
      <c r="J1" s="312"/>
      <c r="K1" s="292" t="s">
        <v>267</v>
      </c>
      <c r="L1" s="150"/>
      <c r="M1" s="150"/>
      <c r="N1" s="150"/>
    </row>
    <row r="2" spans="1:14" ht="17.25" customHeight="1" x14ac:dyDescent="0.25">
      <c r="A2" s="353" t="s">
        <v>104</v>
      </c>
      <c r="B2" s="354"/>
      <c r="C2" s="159"/>
      <c r="D2" s="159"/>
      <c r="E2" s="159"/>
      <c r="F2" s="160" t="s">
        <v>102</v>
      </c>
      <c r="G2" s="161"/>
      <c r="H2" s="162"/>
      <c r="I2" s="162"/>
      <c r="J2" s="162"/>
      <c r="K2" s="163"/>
      <c r="L2" s="151"/>
      <c r="M2" s="151"/>
      <c r="N2" s="151"/>
    </row>
    <row r="3" spans="1:14" ht="17.25" customHeight="1" x14ac:dyDescent="0.25">
      <c r="A3" s="164" t="s">
        <v>11</v>
      </c>
      <c r="B3" s="329"/>
      <c r="C3" s="330"/>
      <c r="D3" s="331"/>
      <c r="E3" s="165"/>
      <c r="F3" s="166" t="s">
        <v>223</v>
      </c>
      <c r="G3" s="355" t="s">
        <v>112</v>
      </c>
      <c r="H3" s="355"/>
      <c r="I3" s="355"/>
      <c r="J3" s="355"/>
      <c r="K3" s="167"/>
      <c r="L3" s="152"/>
      <c r="M3" s="152"/>
      <c r="N3" s="152"/>
    </row>
    <row r="4" spans="1:14" ht="17.25" customHeight="1" x14ac:dyDescent="0.25">
      <c r="A4" s="164" t="s">
        <v>12</v>
      </c>
      <c r="B4" s="329"/>
      <c r="C4" s="330"/>
      <c r="D4" s="331"/>
      <c r="E4" s="165"/>
      <c r="F4" s="168" t="s">
        <v>222</v>
      </c>
      <c r="G4" s="356" t="s">
        <v>108</v>
      </c>
      <c r="H4" s="356"/>
      <c r="I4" s="356"/>
      <c r="J4" s="356"/>
      <c r="K4" s="167"/>
      <c r="L4" s="152"/>
      <c r="M4" s="152"/>
      <c r="N4" s="152"/>
    </row>
    <row r="5" spans="1:14" ht="17.25" customHeight="1" x14ac:dyDescent="0.25">
      <c r="A5" s="164" t="s">
        <v>13</v>
      </c>
      <c r="B5" s="329"/>
      <c r="C5" s="330"/>
      <c r="D5" s="331"/>
      <c r="E5" s="165"/>
      <c r="F5" s="159"/>
      <c r="G5" s="356"/>
      <c r="H5" s="356"/>
      <c r="I5" s="356"/>
      <c r="J5" s="356"/>
      <c r="K5" s="169"/>
      <c r="L5" s="153"/>
      <c r="M5" s="153"/>
      <c r="N5" s="153"/>
    </row>
    <row r="6" spans="1:14" ht="17.25" customHeight="1" x14ac:dyDescent="0.25">
      <c r="A6" s="164" t="s">
        <v>14</v>
      </c>
      <c r="B6" s="329"/>
      <c r="C6" s="330"/>
      <c r="D6" s="331"/>
      <c r="E6" s="165"/>
      <c r="F6" s="170" t="s">
        <v>103</v>
      </c>
      <c r="G6" s="340" t="s">
        <v>109</v>
      </c>
      <c r="H6" s="340"/>
      <c r="I6" s="340"/>
      <c r="J6" s="340"/>
      <c r="K6" s="341"/>
      <c r="L6" s="153"/>
      <c r="M6" s="153"/>
      <c r="N6" s="153"/>
    </row>
    <row r="7" spans="1:14" ht="17.25" customHeight="1" x14ac:dyDescent="0.25">
      <c r="A7" s="164" t="s">
        <v>15</v>
      </c>
      <c r="B7" s="329"/>
      <c r="C7" s="330"/>
      <c r="D7" s="331"/>
      <c r="E7" s="165"/>
      <c r="F7" s="171"/>
      <c r="G7" s="340"/>
      <c r="H7" s="340"/>
      <c r="I7" s="340"/>
      <c r="J7" s="340"/>
      <c r="K7" s="341"/>
      <c r="L7" s="153"/>
      <c r="M7" s="153"/>
      <c r="N7" s="153"/>
    </row>
    <row r="8" spans="1:14" ht="17.25" customHeight="1" x14ac:dyDescent="0.25">
      <c r="A8" s="164" t="s">
        <v>16</v>
      </c>
      <c r="B8" s="329"/>
      <c r="C8" s="330"/>
      <c r="D8" s="331"/>
      <c r="E8" s="165"/>
      <c r="F8" s="171"/>
      <c r="G8" s="340"/>
      <c r="H8" s="340"/>
      <c r="I8" s="340"/>
      <c r="J8" s="340"/>
      <c r="K8" s="341"/>
      <c r="L8" s="153"/>
      <c r="M8" s="153"/>
      <c r="N8" s="153"/>
    </row>
    <row r="9" spans="1:14" ht="14.25" customHeight="1" x14ac:dyDescent="0.25">
      <c r="A9" s="172"/>
      <c r="B9" s="173"/>
      <c r="C9" s="174"/>
      <c r="D9" s="174"/>
      <c r="E9" s="174"/>
      <c r="F9" s="170" t="s">
        <v>110</v>
      </c>
      <c r="G9" s="340" t="s">
        <v>236</v>
      </c>
      <c r="H9" s="340"/>
      <c r="I9" s="340"/>
      <c r="J9" s="340"/>
      <c r="K9" s="341"/>
      <c r="L9" s="153"/>
      <c r="M9" s="153"/>
      <c r="N9" s="153"/>
    </row>
    <row r="10" spans="1:14" ht="14.25" customHeight="1" x14ac:dyDescent="0.25">
      <c r="A10" s="175"/>
      <c r="B10" s="159"/>
      <c r="C10" s="159"/>
      <c r="D10" s="159"/>
      <c r="E10" s="159"/>
      <c r="F10" s="159"/>
      <c r="G10" s="340"/>
      <c r="H10" s="340"/>
      <c r="I10" s="340"/>
      <c r="J10" s="340"/>
      <c r="K10" s="341"/>
      <c r="L10" s="154"/>
      <c r="M10" s="154"/>
      <c r="N10" s="154"/>
    </row>
    <row r="11" spans="1:14" ht="14.25" customHeight="1" x14ac:dyDescent="0.25">
      <c r="A11" s="357" t="s">
        <v>105</v>
      </c>
      <c r="B11" s="358"/>
      <c r="C11" s="358"/>
      <c r="D11" s="358"/>
      <c r="E11" s="358"/>
      <c r="F11" s="358"/>
      <c r="G11" s="340"/>
      <c r="H11" s="340"/>
      <c r="I11" s="340"/>
      <c r="J11" s="340"/>
      <c r="K11" s="341"/>
      <c r="L11" s="154"/>
      <c r="M11" s="154"/>
      <c r="N11" s="154"/>
    </row>
    <row r="12" spans="1:14" ht="14.25" customHeight="1" x14ac:dyDescent="0.25">
      <c r="A12" s="176"/>
      <c r="B12" s="177"/>
      <c r="C12" s="177"/>
      <c r="D12" s="177"/>
      <c r="E12" s="177"/>
      <c r="F12" s="177"/>
      <c r="G12" s="178"/>
      <c r="H12" s="178"/>
      <c r="I12" s="178"/>
      <c r="J12" s="178"/>
      <c r="K12" s="179"/>
      <c r="L12" s="154"/>
      <c r="M12" s="154"/>
      <c r="N12" s="154"/>
    </row>
    <row r="13" spans="1:14" ht="29.25" customHeight="1" x14ac:dyDescent="0.25">
      <c r="A13" s="180"/>
      <c r="B13" s="181" t="s">
        <v>224</v>
      </c>
      <c r="C13" s="181" t="s">
        <v>225</v>
      </c>
      <c r="D13" s="182" t="s">
        <v>226</v>
      </c>
      <c r="E13" s="183"/>
      <c r="F13" s="184" t="s">
        <v>111</v>
      </c>
      <c r="G13" s="340" t="s">
        <v>113</v>
      </c>
      <c r="H13" s="340"/>
      <c r="I13" s="340"/>
      <c r="J13" s="340"/>
      <c r="K13" s="341"/>
      <c r="L13" s="154"/>
      <c r="M13" s="154"/>
      <c r="N13" s="154"/>
    </row>
    <row r="14" spans="1:14" ht="14.25" customHeight="1" x14ac:dyDescent="0.25">
      <c r="A14" s="332" t="s">
        <v>227</v>
      </c>
      <c r="B14" s="362"/>
      <c r="C14" s="359"/>
      <c r="D14" s="365">
        <f>C14+B14</f>
        <v>0</v>
      </c>
      <c r="E14" s="185"/>
      <c r="F14" s="159"/>
      <c r="G14" s="340"/>
      <c r="H14" s="340"/>
      <c r="I14" s="340"/>
      <c r="J14" s="340"/>
      <c r="K14" s="341"/>
      <c r="L14" s="45"/>
      <c r="M14" s="45"/>
      <c r="N14" s="45"/>
    </row>
    <row r="15" spans="1:14" ht="14.25" customHeight="1" x14ac:dyDescent="0.25">
      <c r="A15" s="333"/>
      <c r="B15" s="362"/>
      <c r="C15" s="359"/>
      <c r="D15" s="366"/>
      <c r="E15" s="185"/>
      <c r="F15" s="159"/>
      <c r="G15" s="186"/>
      <c r="H15" s="187"/>
      <c r="I15" s="187"/>
      <c r="J15" s="159"/>
      <c r="K15" s="188"/>
      <c r="L15" s="45"/>
      <c r="M15" s="45"/>
      <c r="N15" s="45"/>
    </row>
    <row r="16" spans="1:14" ht="14.25" customHeight="1" x14ac:dyDescent="0.25">
      <c r="A16" s="334" t="s">
        <v>228</v>
      </c>
      <c r="B16" s="360"/>
      <c r="C16" s="359"/>
      <c r="D16" s="365">
        <f>C16+B16</f>
        <v>0</v>
      </c>
      <c r="E16" s="185"/>
      <c r="F16" s="159"/>
      <c r="G16" s="159"/>
      <c r="H16" s="187"/>
      <c r="I16" s="187"/>
      <c r="J16" s="187"/>
      <c r="K16" s="189"/>
      <c r="L16" s="45"/>
      <c r="M16" s="45"/>
      <c r="N16" s="45"/>
    </row>
    <row r="17" spans="1:14" ht="14.25" customHeight="1" x14ac:dyDescent="0.25">
      <c r="A17" s="335"/>
      <c r="B17" s="361"/>
      <c r="C17" s="359"/>
      <c r="D17" s="366"/>
      <c r="E17" s="185"/>
      <c r="F17" s="159"/>
      <c r="G17" s="186"/>
      <c r="H17" s="187"/>
      <c r="I17" s="159"/>
      <c r="J17" s="159"/>
      <c r="K17" s="189"/>
      <c r="L17" s="45"/>
      <c r="M17" s="45"/>
      <c r="N17" s="45"/>
    </row>
    <row r="18" spans="1:14" ht="14.25" customHeight="1" x14ac:dyDescent="0.25">
      <c r="A18" s="175"/>
      <c r="B18" s="159"/>
      <c r="C18" s="159"/>
      <c r="D18" s="186"/>
      <c r="E18" s="186"/>
      <c r="F18" s="186"/>
      <c r="G18" s="159"/>
      <c r="H18" s="159"/>
      <c r="I18" s="159"/>
      <c r="J18" s="159"/>
      <c r="K18" s="188"/>
      <c r="L18" s="24"/>
      <c r="M18" s="24"/>
      <c r="N18" s="24"/>
    </row>
    <row r="19" spans="1:14" ht="18" customHeight="1" x14ac:dyDescent="0.25">
      <c r="A19" s="353" t="s">
        <v>106</v>
      </c>
      <c r="B19" s="354"/>
      <c r="C19" s="187"/>
      <c r="D19" s="187"/>
      <c r="E19" s="187"/>
      <c r="F19" s="187"/>
      <c r="G19" s="347" t="s">
        <v>23</v>
      </c>
      <c r="H19" s="187"/>
      <c r="I19" s="456" t="str">
        <f>IF(SUM(D14:D17)&gt;D26,"Hinweis: 
Die Summe aus Versicherungsleistungen u. sonstigen Zahlungen übersteigt bereits den bereinigten Schaden. 
Der zu erwartende Auszahlungsbetrag wird daher  vorausssichtlich 0,00 EUR betragen (siehe Merkblatt Kapitel C).","")</f>
        <v/>
      </c>
      <c r="J19" s="456"/>
      <c r="K19" s="457"/>
      <c r="L19" s="45"/>
      <c r="M19" s="45"/>
      <c r="N19" s="45"/>
    </row>
    <row r="20" spans="1:14" ht="35.25" customHeight="1" thickBot="1" x14ac:dyDescent="0.3">
      <c r="A20" s="190" t="s">
        <v>10</v>
      </c>
      <c r="B20" s="191" t="s">
        <v>270</v>
      </c>
      <c r="C20" s="191" t="s">
        <v>81</v>
      </c>
      <c r="D20" s="192" t="s">
        <v>268</v>
      </c>
      <c r="E20" s="193"/>
      <c r="F20" s="159"/>
      <c r="G20" s="348"/>
      <c r="H20" s="159"/>
      <c r="I20" s="456"/>
      <c r="J20" s="456"/>
      <c r="K20" s="457"/>
      <c r="L20" s="155"/>
      <c r="M20" s="155"/>
      <c r="N20" s="155"/>
    </row>
    <row r="21" spans="1:14" x14ac:dyDescent="0.25">
      <c r="A21" s="164" t="s">
        <v>18</v>
      </c>
      <c r="B21" s="194">
        <f>MAX('1) Wein-Erntemengenerhebung'!H12:H13)</f>
        <v>0</v>
      </c>
      <c r="C21" s="195">
        <f>MAX('2) Obst-Erntemengenerhebung'!AB26:AB27)</f>
        <v>0</v>
      </c>
      <c r="D21" s="196">
        <f>B21+C21</f>
        <v>0</v>
      </c>
      <c r="E21" s="197"/>
      <c r="F21" s="159"/>
      <c r="G21" s="338" t="str">
        <f ca="1">IF(D22&lt;(D21*0.7),"ja","nein")</f>
        <v>nein</v>
      </c>
      <c r="H21" s="159"/>
      <c r="I21" s="456"/>
      <c r="J21" s="456"/>
      <c r="K21" s="457"/>
      <c r="L21" s="43"/>
      <c r="M21" s="43"/>
      <c r="N21" s="43"/>
    </row>
    <row r="22" spans="1:14" ht="15.75" thickBot="1" x14ac:dyDescent="0.3">
      <c r="A22" s="190" t="s">
        <v>17</v>
      </c>
      <c r="B22" s="199">
        <f>'1) Wein-Erntemengenerhebung'!H6</f>
        <v>0</v>
      </c>
      <c r="C22" s="200">
        <f ca="1">'2) Obst-Erntemengenerhebung'!AB20</f>
        <v>0</v>
      </c>
      <c r="D22" s="201">
        <f ca="1">B22+C22</f>
        <v>0</v>
      </c>
      <c r="E22" s="197"/>
      <c r="F22" s="159"/>
      <c r="G22" s="339"/>
      <c r="H22" s="198"/>
      <c r="I22" s="456"/>
      <c r="J22" s="456"/>
      <c r="K22" s="457"/>
      <c r="L22" s="43"/>
      <c r="M22" s="43"/>
      <c r="N22" s="43"/>
    </row>
    <row r="23" spans="1:14" ht="15" customHeight="1" x14ac:dyDescent="0.25">
      <c r="A23" s="172"/>
      <c r="B23" s="173"/>
      <c r="C23" s="202"/>
      <c r="D23" s="187"/>
      <c r="E23" s="187"/>
      <c r="F23" s="203"/>
      <c r="G23" s="159"/>
      <c r="H23" s="159"/>
      <c r="I23" s="456"/>
      <c r="J23" s="456"/>
      <c r="K23" s="457"/>
      <c r="L23" s="24"/>
      <c r="M23" s="24"/>
      <c r="N23" s="24"/>
    </row>
    <row r="24" spans="1:14" ht="18" x14ac:dyDescent="0.25">
      <c r="A24" s="204" t="s">
        <v>107</v>
      </c>
      <c r="B24" s="205"/>
      <c r="C24" s="202"/>
      <c r="D24" s="187"/>
      <c r="E24" s="187"/>
      <c r="F24" s="203"/>
      <c r="G24" s="159"/>
      <c r="H24" s="159"/>
      <c r="I24" s="456"/>
      <c r="J24" s="456"/>
      <c r="K24" s="457"/>
      <c r="L24" s="24"/>
      <c r="M24" s="24"/>
      <c r="N24" s="24"/>
    </row>
    <row r="25" spans="1:14" ht="45" x14ac:dyDescent="0.25">
      <c r="A25" s="204"/>
      <c r="B25" s="206" t="s">
        <v>219</v>
      </c>
      <c r="C25" s="206" t="s">
        <v>221</v>
      </c>
      <c r="D25" s="207" t="s">
        <v>269</v>
      </c>
      <c r="E25" s="193"/>
      <c r="F25" s="203"/>
      <c r="G25" s="208" t="s">
        <v>82</v>
      </c>
      <c r="H25" s="159"/>
      <c r="I25" s="456"/>
      <c r="J25" s="456"/>
      <c r="K25" s="457"/>
      <c r="L25" s="24"/>
      <c r="M25" s="24"/>
      <c r="N25" s="24"/>
    </row>
    <row r="26" spans="1:14" ht="18" x14ac:dyDescent="0.25">
      <c r="A26" s="204"/>
      <c r="B26" s="209">
        <f>'1) Wein-Erntemengenerhebung'!E17</f>
        <v>0</v>
      </c>
      <c r="C26" s="210">
        <f>'2) Obst-Erntemengenerhebung'!AB19</f>
        <v>0</v>
      </c>
      <c r="D26" s="209">
        <f>C26+B26</f>
        <v>0</v>
      </c>
      <c r="E26" s="211"/>
      <c r="F26" s="203"/>
      <c r="G26" s="212" t="str">
        <f>IF(D26&gt;7500,"ja","nein")</f>
        <v>nein</v>
      </c>
      <c r="H26" s="159"/>
      <c r="I26" s="456"/>
      <c r="J26" s="456"/>
      <c r="K26" s="457"/>
      <c r="L26" s="24"/>
      <c r="M26" s="24"/>
      <c r="N26" s="24"/>
    </row>
    <row r="27" spans="1:14" ht="18" x14ac:dyDescent="0.25">
      <c r="A27" s="204"/>
      <c r="B27" s="205"/>
      <c r="C27" s="213"/>
      <c r="D27" s="187"/>
      <c r="E27" s="187"/>
      <c r="F27" s="203"/>
      <c r="G27" s="159"/>
      <c r="H27" s="159"/>
      <c r="I27" s="159"/>
      <c r="J27" s="159"/>
      <c r="K27" s="188"/>
      <c r="L27" s="24"/>
      <c r="M27" s="24"/>
      <c r="N27" s="24"/>
    </row>
    <row r="28" spans="1:14" ht="47.25" hidden="1" customHeight="1" x14ac:dyDescent="0.25">
      <c r="A28" s="350"/>
      <c r="B28" s="350"/>
      <c r="C28" s="350"/>
      <c r="D28" s="350"/>
      <c r="E28" s="350"/>
      <c r="F28" s="350"/>
      <c r="G28" s="350"/>
      <c r="H28" s="350"/>
      <c r="I28" s="350"/>
      <c r="J28" s="350"/>
      <c r="K28" s="350"/>
      <c r="L28" s="80"/>
      <c r="M28" s="80"/>
      <c r="N28" s="80"/>
    </row>
    <row r="29" spans="1:14" ht="18" hidden="1" x14ac:dyDescent="0.25">
      <c r="A29" s="214" t="s">
        <v>25</v>
      </c>
      <c r="B29" s="215"/>
      <c r="C29" s="215"/>
      <c r="D29" s="216"/>
      <c r="E29" s="216"/>
      <c r="F29" s="217"/>
      <c r="G29" s="217"/>
      <c r="H29" s="217"/>
      <c r="I29" s="217"/>
      <c r="J29" s="217"/>
      <c r="K29" s="217"/>
      <c r="L29" s="24"/>
      <c r="M29" s="24"/>
      <c r="N29" s="24"/>
    </row>
    <row r="30" spans="1:14" hidden="1" x14ac:dyDescent="0.25">
      <c r="A30" s="218"/>
      <c r="B30" s="219"/>
      <c r="C30" s="219"/>
      <c r="D30" s="220"/>
      <c r="E30" s="220"/>
      <c r="F30" s="220"/>
      <c r="G30" s="220"/>
      <c r="H30" s="220"/>
      <c r="I30" s="220"/>
      <c r="J30" s="220"/>
      <c r="K30" s="220"/>
      <c r="L30" s="45"/>
      <c r="M30" s="24"/>
      <c r="N30" s="24"/>
    </row>
    <row r="31" spans="1:14" ht="18" hidden="1" customHeight="1" x14ac:dyDescent="0.25">
      <c r="A31" s="349" t="s">
        <v>32</v>
      </c>
      <c r="B31" s="349"/>
      <c r="C31" s="349"/>
      <c r="D31" s="221"/>
      <c r="E31" s="221"/>
      <c r="F31" s="221"/>
      <c r="G31" s="219"/>
      <c r="H31" s="219"/>
      <c r="I31" s="220"/>
      <c r="J31" s="220"/>
      <c r="K31" s="220"/>
      <c r="L31" s="45"/>
      <c r="M31" s="24"/>
      <c r="N31" s="24"/>
    </row>
    <row r="32" spans="1:14" ht="18" hidden="1" x14ac:dyDescent="0.25">
      <c r="A32" s="218"/>
      <c r="B32" s="222"/>
      <c r="C32" s="222"/>
      <c r="D32" s="222"/>
      <c r="E32" s="222"/>
      <c r="F32" s="221"/>
      <c r="G32" s="223"/>
      <c r="H32" s="224"/>
      <c r="I32" s="220"/>
      <c r="J32" s="220"/>
      <c r="K32" s="220"/>
      <c r="L32" s="45"/>
      <c r="M32" s="24"/>
      <c r="N32" s="24"/>
    </row>
    <row r="33" spans="1:14" ht="30" hidden="1" customHeight="1" x14ac:dyDescent="0.25">
      <c r="A33" s="225"/>
      <c r="B33" s="226"/>
      <c r="C33" s="227" t="s">
        <v>229</v>
      </c>
      <c r="D33" s="227" t="s">
        <v>232</v>
      </c>
      <c r="E33" s="219"/>
      <c r="F33" s="219"/>
      <c r="G33" s="228" t="s">
        <v>29</v>
      </c>
      <c r="H33" s="229">
        <v>0</v>
      </c>
      <c r="I33" s="219"/>
      <c r="J33" s="219"/>
      <c r="K33" s="219"/>
      <c r="L33" s="24"/>
      <c r="M33" s="24"/>
      <c r="N33" s="24"/>
    </row>
    <row r="34" spans="1:14" ht="18.75" hidden="1" customHeight="1" x14ac:dyDescent="0.25">
      <c r="A34" s="345" t="s">
        <v>234</v>
      </c>
      <c r="B34" s="346"/>
      <c r="C34" s="230">
        <f>B26</f>
        <v>0</v>
      </c>
      <c r="D34" s="230">
        <f>C26</f>
        <v>0</v>
      </c>
      <c r="E34" s="231"/>
      <c r="F34" s="219"/>
      <c r="G34" s="219"/>
      <c r="H34" s="219"/>
      <c r="I34" s="219"/>
      <c r="J34" s="219"/>
      <c r="K34" s="219"/>
      <c r="L34" s="156"/>
      <c r="M34" s="24"/>
      <c r="N34" s="24"/>
    </row>
    <row r="35" spans="1:14" ht="18.75" hidden="1" customHeight="1" thickBot="1" x14ac:dyDescent="0.3">
      <c r="A35" s="316" t="s">
        <v>26</v>
      </c>
      <c r="B35" s="317"/>
      <c r="C35" s="232">
        <f>C34*H33</f>
        <v>0</v>
      </c>
      <c r="D35" s="232">
        <f>D34*H33</f>
        <v>0</v>
      </c>
      <c r="E35" s="231"/>
      <c r="F35" s="219"/>
      <c r="G35" s="322" t="s">
        <v>235</v>
      </c>
      <c r="H35" s="322"/>
      <c r="I35" s="322"/>
      <c r="J35" s="322"/>
      <c r="K35" s="322"/>
      <c r="L35" s="156"/>
      <c r="M35" s="24"/>
      <c r="N35" s="24"/>
    </row>
    <row r="36" spans="1:14" ht="18.75" hidden="1" customHeight="1" x14ac:dyDescent="0.25">
      <c r="A36" s="363" t="s">
        <v>28</v>
      </c>
      <c r="B36" s="364"/>
      <c r="C36" s="233">
        <f>B14</f>
        <v>0</v>
      </c>
      <c r="D36" s="233">
        <f>C14</f>
        <v>0</v>
      </c>
      <c r="E36" s="231"/>
      <c r="F36" s="219"/>
      <c r="G36" s="327" t="s">
        <v>10</v>
      </c>
      <c r="H36" s="323" t="s">
        <v>80</v>
      </c>
      <c r="I36" s="323" t="s">
        <v>81</v>
      </c>
      <c r="J36" s="325" t="s">
        <v>220</v>
      </c>
      <c r="K36" s="234"/>
      <c r="L36" s="156"/>
      <c r="M36" s="24"/>
      <c r="N36" s="24"/>
    </row>
    <row r="37" spans="1:14" ht="18.75" hidden="1" customHeight="1" thickBot="1" x14ac:dyDescent="0.3">
      <c r="A37" s="345" t="s">
        <v>27</v>
      </c>
      <c r="B37" s="346"/>
      <c r="C37" s="233">
        <f>B16</f>
        <v>0</v>
      </c>
      <c r="D37" s="233">
        <f>C16</f>
        <v>0</v>
      </c>
      <c r="E37" s="231"/>
      <c r="F37" s="219"/>
      <c r="G37" s="328"/>
      <c r="H37" s="324"/>
      <c r="I37" s="324"/>
      <c r="J37" s="326"/>
      <c r="K37" s="234"/>
      <c r="L37" s="156"/>
      <c r="M37" s="24"/>
      <c r="N37" s="24"/>
    </row>
    <row r="38" spans="1:14" ht="15.75" hidden="1" customHeight="1" thickBot="1" x14ac:dyDescent="0.3">
      <c r="A38" s="316" t="s">
        <v>233</v>
      </c>
      <c r="B38" s="317"/>
      <c r="C38" s="232">
        <f>C37+C36</f>
        <v>0</v>
      </c>
      <c r="D38" s="232">
        <f>D37+D36</f>
        <v>0</v>
      </c>
      <c r="E38" s="231"/>
      <c r="F38" s="219"/>
      <c r="G38" s="235" t="s">
        <v>18</v>
      </c>
      <c r="H38" s="236">
        <f>B21</f>
        <v>0</v>
      </c>
      <c r="I38" s="237">
        <f>C21</f>
        <v>0</v>
      </c>
      <c r="J38" s="238">
        <f>H38+I38</f>
        <v>0</v>
      </c>
      <c r="K38" s="234"/>
      <c r="L38" s="156"/>
      <c r="M38" s="24"/>
      <c r="N38" s="24"/>
    </row>
    <row r="39" spans="1:14" ht="15" hidden="1" customHeight="1" thickBot="1" x14ac:dyDescent="0.3">
      <c r="A39" s="318" t="s">
        <v>31</v>
      </c>
      <c r="B39" s="319"/>
      <c r="C39" s="336">
        <f>C38+C35</f>
        <v>0</v>
      </c>
      <c r="D39" s="336">
        <f>D38+D35</f>
        <v>0</v>
      </c>
      <c r="E39" s="239"/>
      <c r="F39" s="219"/>
      <c r="G39" s="240" t="s">
        <v>17</v>
      </c>
      <c r="H39" s="241">
        <f>B22</f>
        <v>0</v>
      </c>
      <c r="I39" s="242">
        <f ca="1">C22</f>
        <v>0</v>
      </c>
      <c r="J39" s="243">
        <f ca="1">H39+I39</f>
        <v>0</v>
      </c>
      <c r="K39" s="234"/>
      <c r="L39" s="156"/>
      <c r="M39" s="342"/>
      <c r="N39" s="24"/>
    </row>
    <row r="40" spans="1:14" ht="27" hidden="1" customHeight="1" thickBot="1" x14ac:dyDescent="0.3">
      <c r="A40" s="320"/>
      <c r="B40" s="321"/>
      <c r="C40" s="337"/>
      <c r="D40" s="337"/>
      <c r="E40" s="266"/>
      <c r="F40" s="267"/>
      <c r="G40" s="313" t="s">
        <v>230</v>
      </c>
      <c r="H40" s="314"/>
      <c r="I40" s="315"/>
      <c r="J40" s="244" t="str">
        <f ca="1">IFERROR((1-(J39/J38)),"---")</f>
        <v>---</v>
      </c>
      <c r="K40" s="245" t="s">
        <v>231</v>
      </c>
      <c r="L40" s="156"/>
      <c r="M40" s="342"/>
      <c r="N40" s="24"/>
    </row>
    <row r="41" spans="1:14" ht="15.75" hidden="1" thickTop="1" x14ac:dyDescent="0.25">
      <c r="A41" s="343" t="s">
        <v>30</v>
      </c>
      <c r="B41" s="344"/>
      <c r="C41" s="268">
        <f>IF(IF(C39&gt;C34,C34-C38,C35)&lt;0,0,(IF(C39&gt;C34,C34-C38,C35)))</f>
        <v>0</v>
      </c>
      <c r="D41" s="268">
        <f>IF(IF(D39&gt;D34,D34-D38,D35)&lt;0,0,(IF(D39&gt;D34,D34-D38,D35)))</f>
        <v>0</v>
      </c>
      <c r="E41" s="351">
        <f>D41+C41</f>
        <v>0</v>
      </c>
      <c r="F41" s="352"/>
      <c r="G41" s="246"/>
      <c r="H41" s="219"/>
      <c r="I41" s="247"/>
      <c r="J41" s="247"/>
      <c r="K41" s="247"/>
      <c r="L41" s="157"/>
      <c r="M41" s="158"/>
      <c r="N41" s="24"/>
    </row>
    <row r="42" spans="1:14" hidden="1" x14ac:dyDescent="0.25">
      <c r="A42" s="248"/>
      <c r="B42" s="249"/>
      <c r="C42" s="249"/>
      <c r="D42" s="249"/>
      <c r="E42" s="249"/>
      <c r="F42" s="249"/>
      <c r="G42" s="249"/>
      <c r="H42" s="249"/>
      <c r="I42" s="249"/>
      <c r="J42" s="249"/>
      <c r="K42" s="249"/>
      <c r="L42" s="24"/>
      <c r="M42" s="24"/>
      <c r="N42" s="24"/>
    </row>
  </sheetData>
  <sheetProtection algorithmName="SHA-512" hashValue="RgZ0MTeRX1R2MReHe012++bAVvKgtaceg5rNpnYccYenh75OoX5NlNPyYD8F6DesVQb5R0kU3PKmN7czA+RHLA==" saltValue="kPsW+ZpoFv7k4JkC+pUPgQ==" spinCount="100000" sheet="1" objects="1" scenarios="1" selectLockedCells="1"/>
  <mergeCells count="45">
    <mergeCell ref="A2:B2"/>
    <mergeCell ref="B3:D3"/>
    <mergeCell ref="B4:D4"/>
    <mergeCell ref="B5:D5"/>
    <mergeCell ref="B6:D6"/>
    <mergeCell ref="C16:C17"/>
    <mergeCell ref="B16:B17"/>
    <mergeCell ref="B14:B15"/>
    <mergeCell ref="A36:B36"/>
    <mergeCell ref="D14:D15"/>
    <mergeCell ref="D16:D17"/>
    <mergeCell ref="G9:K11"/>
    <mergeCell ref="G13:K14"/>
    <mergeCell ref="G3:J3"/>
    <mergeCell ref="G4:J5"/>
    <mergeCell ref="B7:D7"/>
    <mergeCell ref="A11:F11"/>
    <mergeCell ref="C14:C15"/>
    <mergeCell ref="M39:M40"/>
    <mergeCell ref="A41:B41"/>
    <mergeCell ref="A34:B34"/>
    <mergeCell ref="A35:B35"/>
    <mergeCell ref="G19:G20"/>
    <mergeCell ref="A31:C31"/>
    <mergeCell ref="A28:K28"/>
    <mergeCell ref="E41:F41"/>
    <mergeCell ref="A37:B37"/>
    <mergeCell ref="A19:B19"/>
    <mergeCell ref="I19:K26"/>
    <mergeCell ref="A1:J1"/>
    <mergeCell ref="G40:I40"/>
    <mergeCell ref="A38:B38"/>
    <mergeCell ref="A39:B40"/>
    <mergeCell ref="G35:K35"/>
    <mergeCell ref="H36:H37"/>
    <mergeCell ref="I36:I37"/>
    <mergeCell ref="J36:J37"/>
    <mergeCell ref="G36:G37"/>
    <mergeCell ref="B8:D8"/>
    <mergeCell ref="A14:A15"/>
    <mergeCell ref="A16:A17"/>
    <mergeCell ref="C39:C40"/>
    <mergeCell ref="D39:D40"/>
    <mergeCell ref="G21:G22"/>
    <mergeCell ref="G6:K8"/>
  </mergeCells>
  <conditionalFormatting sqref="G21 L21 G26">
    <cfRule type="expression" dxfId="4" priority="17">
      <formula>G21="ja"</formula>
    </cfRule>
  </conditionalFormatting>
  <conditionalFormatting sqref="G26">
    <cfRule type="expression" dxfId="3" priority="19">
      <formula>$G$26="ja"</formula>
    </cfRule>
  </conditionalFormatting>
  <conditionalFormatting sqref="C34:D34">
    <cfRule type="cellIs" dxfId="2" priority="2" operator="lessThan">
      <formula>7500.01</formula>
    </cfRule>
  </conditionalFormatting>
  <conditionalFormatting sqref="J40">
    <cfRule type="cellIs" dxfId="1" priority="1" operator="lessThan">
      <formula>0.3</formula>
    </cfRule>
  </conditionalFormatting>
  <pageMargins left="0.7" right="0.7" top="0.78740157499999996" bottom="0.78740157499999996"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BFFF-711A-463D-8135-F8DAAF603248}">
  <sheetPr codeName="Tabelle1"/>
  <dimension ref="A1:O192"/>
  <sheetViews>
    <sheetView showGridLines="0" view="pageBreakPreview" zoomScale="190" zoomScaleNormal="250" zoomScaleSheetLayoutView="190" workbookViewId="0">
      <selection activeCell="C10" sqref="C10"/>
    </sheetView>
  </sheetViews>
  <sheetFormatPr baseColWidth="10" defaultColWidth="11.42578125" defaultRowHeight="27.75" zeroHeight="1" x14ac:dyDescent="0.25"/>
  <cols>
    <col min="1" max="1" width="4" style="78" customWidth="1"/>
    <col min="2" max="2" width="14" style="78" customWidth="1"/>
    <col min="3" max="4" width="13" style="78" customWidth="1"/>
    <col min="5" max="5" width="13.7109375" style="78" customWidth="1"/>
    <col min="6" max="8" width="13" style="40" customWidth="1"/>
    <col min="9" max="9" width="2.42578125" style="76" customWidth="1"/>
    <col min="10" max="12" width="11.42578125" style="76" customWidth="1"/>
    <col min="13" max="13" width="16.42578125" style="76" hidden="1" customWidth="1"/>
    <col min="14" max="14" width="14.28515625" style="76" hidden="1" customWidth="1"/>
    <col min="15" max="16384" width="11.42578125" style="76"/>
  </cols>
  <sheetData>
    <row r="1" spans="1:15" ht="75.75" customHeight="1" x14ac:dyDescent="0.25">
      <c r="A1" s="367" t="s">
        <v>69</v>
      </c>
      <c r="B1" s="367"/>
      <c r="C1" s="367"/>
      <c r="D1" s="367"/>
      <c r="E1" s="367"/>
      <c r="F1" s="367"/>
      <c r="G1" s="367"/>
      <c r="H1" s="367"/>
      <c r="I1" s="367"/>
      <c r="J1" s="367"/>
      <c r="K1" s="367"/>
      <c r="L1" s="367"/>
    </row>
    <row r="2" spans="1:15" ht="13.5" customHeight="1" x14ac:dyDescent="0.25">
      <c r="A2" s="388" t="s">
        <v>114</v>
      </c>
      <c r="B2" s="388"/>
      <c r="C2" s="388"/>
      <c r="D2" s="388"/>
      <c r="E2" s="388"/>
      <c r="F2" s="388"/>
      <c r="G2" s="388"/>
      <c r="H2" s="388"/>
    </row>
    <row r="3" spans="1:15" ht="16.5" customHeight="1" x14ac:dyDescent="0.25">
      <c r="A3" s="379"/>
      <c r="B3" s="380"/>
      <c r="C3" s="374" t="s">
        <v>101</v>
      </c>
      <c r="D3" s="374" t="s">
        <v>99</v>
      </c>
      <c r="E3" s="374" t="s">
        <v>100</v>
      </c>
      <c r="F3" s="374" t="s">
        <v>251</v>
      </c>
      <c r="G3" s="374" t="s">
        <v>94</v>
      </c>
      <c r="H3" s="376" t="s">
        <v>239</v>
      </c>
      <c r="J3" s="390" t="s">
        <v>237</v>
      </c>
      <c r="K3" s="390"/>
      <c r="L3" s="390"/>
    </row>
    <row r="4" spans="1:15" ht="32.25" customHeight="1" x14ac:dyDescent="0.25">
      <c r="A4" s="379"/>
      <c r="B4" s="380"/>
      <c r="C4" s="374"/>
      <c r="D4" s="374"/>
      <c r="E4" s="374"/>
      <c r="F4" s="374"/>
      <c r="G4" s="374"/>
      <c r="H4" s="377"/>
      <c r="J4" s="390"/>
      <c r="K4" s="390"/>
      <c r="L4" s="390"/>
    </row>
    <row r="5" spans="1:15" ht="15.75" customHeight="1" thickBot="1" x14ac:dyDescent="0.3">
      <c r="A5" s="381"/>
      <c r="B5" s="382"/>
      <c r="C5" s="375"/>
      <c r="D5" s="375"/>
      <c r="E5" s="375"/>
      <c r="F5" s="375"/>
      <c r="G5" s="375"/>
      <c r="H5" s="378"/>
      <c r="J5" s="390"/>
      <c r="K5" s="390"/>
      <c r="L5" s="390"/>
      <c r="M5" s="294" t="s">
        <v>248</v>
      </c>
      <c r="N5" s="294" t="s">
        <v>249</v>
      </c>
      <c r="O5" s="295"/>
    </row>
    <row r="6" spans="1:15" ht="13.5" customHeight="1" x14ac:dyDescent="0.25">
      <c r="A6" s="385" t="s">
        <v>21</v>
      </c>
      <c r="B6" s="385"/>
      <c r="C6" s="251"/>
      <c r="D6" s="252"/>
      <c r="E6" s="253" t="str">
        <f t="shared" ref="E6:E11" si="0">IFERROR(D6/C6,"0,00")</f>
        <v>0,00</v>
      </c>
      <c r="F6" s="253">
        <f>IFERROR('Hilfstabelle 1'!G69,"---")</f>
        <v>130</v>
      </c>
      <c r="G6" s="254">
        <f t="shared" ref="G6:G11" si="1">IFERROR(F6*E6,"0,00")</f>
        <v>0</v>
      </c>
      <c r="H6" s="260">
        <f t="shared" ref="H6:H10" si="2">IFERROR(G6*C6,"0,00")</f>
        <v>0</v>
      </c>
      <c r="J6" s="390"/>
      <c r="K6" s="390"/>
      <c r="L6" s="390"/>
      <c r="M6" s="296" t="str">
        <f>IF(G6&gt;0,G6,"---")</f>
        <v>---</v>
      </c>
      <c r="N6" s="296" t="str">
        <f>IF(H6&gt;0,H6,"---")</f>
        <v>---</v>
      </c>
      <c r="O6" s="295"/>
    </row>
    <row r="7" spans="1:15" ht="13.5" customHeight="1" x14ac:dyDescent="0.25">
      <c r="A7" s="384">
        <v>2023</v>
      </c>
      <c r="B7" s="384"/>
      <c r="C7" s="100"/>
      <c r="D7" s="255"/>
      <c r="E7" s="83" t="str">
        <f t="shared" si="0"/>
        <v>0,00</v>
      </c>
      <c r="F7" s="83">
        <f>IFERROR('Hilfstabelle 1'!F69,"---")</f>
        <v>115</v>
      </c>
      <c r="G7" s="83">
        <f t="shared" si="1"/>
        <v>0</v>
      </c>
      <c r="H7" s="256">
        <f t="shared" si="2"/>
        <v>0</v>
      </c>
      <c r="J7" s="390"/>
      <c r="K7" s="390"/>
      <c r="L7" s="390"/>
      <c r="M7" s="296" t="str">
        <f t="shared" ref="M7:M11" si="3">IF(G7&gt;0,G7,"---")</f>
        <v>---</v>
      </c>
      <c r="N7" s="296" t="str">
        <f>IF(H7&gt;0,H7,"---")</f>
        <v>---</v>
      </c>
      <c r="O7" s="295"/>
    </row>
    <row r="8" spans="1:15" ht="13.5" customHeight="1" x14ac:dyDescent="0.25">
      <c r="A8" s="386">
        <v>2022</v>
      </c>
      <c r="B8" s="387"/>
      <c r="C8" s="100"/>
      <c r="D8" s="147"/>
      <c r="E8" s="83" t="str">
        <f t="shared" si="0"/>
        <v>0,00</v>
      </c>
      <c r="F8" s="83">
        <f>IFERROR('Hilfstabelle 1'!E69,"---")</f>
        <v>135</v>
      </c>
      <c r="G8" s="83">
        <f t="shared" si="1"/>
        <v>0</v>
      </c>
      <c r="H8" s="256">
        <f t="shared" si="2"/>
        <v>0</v>
      </c>
      <c r="M8" s="296" t="str">
        <f t="shared" si="3"/>
        <v>---</v>
      </c>
      <c r="N8" s="296" t="str">
        <f>IF(H8&gt;0,H8,"---")</f>
        <v>---</v>
      </c>
      <c r="O8" s="295"/>
    </row>
    <row r="9" spans="1:15" ht="13.5" customHeight="1" x14ac:dyDescent="0.25">
      <c r="A9" s="393">
        <v>2021</v>
      </c>
      <c r="B9" s="394"/>
      <c r="C9" s="100"/>
      <c r="D9" s="147"/>
      <c r="E9" s="83" t="str">
        <f t="shared" si="0"/>
        <v>0,00</v>
      </c>
      <c r="F9" s="83">
        <f>IFERROR('Hilfstabelle 1'!D69,"---")</f>
        <v>135</v>
      </c>
      <c r="G9" s="83">
        <f t="shared" si="1"/>
        <v>0</v>
      </c>
      <c r="H9" s="256">
        <f t="shared" si="2"/>
        <v>0</v>
      </c>
      <c r="M9" s="296" t="str">
        <f t="shared" si="3"/>
        <v>---</v>
      </c>
      <c r="N9" s="296" t="str">
        <f>IF(H9&gt;0,H9,"---")</f>
        <v>---</v>
      </c>
      <c r="O9" s="295"/>
    </row>
    <row r="10" spans="1:15" ht="13.5" customHeight="1" x14ac:dyDescent="0.25">
      <c r="A10" s="384">
        <v>2020</v>
      </c>
      <c r="B10" s="384"/>
      <c r="C10" s="100"/>
      <c r="D10" s="147"/>
      <c r="E10" s="83" t="str">
        <f t="shared" si="0"/>
        <v>0,00</v>
      </c>
      <c r="F10" s="83">
        <f>IFERROR('Hilfstabelle 1'!C69,"---")</f>
        <v>142.5</v>
      </c>
      <c r="G10" s="83">
        <f t="shared" si="1"/>
        <v>0</v>
      </c>
      <c r="H10" s="256">
        <f t="shared" si="2"/>
        <v>0</v>
      </c>
      <c r="M10" s="296" t="str">
        <f t="shared" si="3"/>
        <v>---</v>
      </c>
      <c r="N10" s="296" t="str">
        <f>IF(H10&gt;0,H10,"---")</f>
        <v>---</v>
      </c>
      <c r="O10" s="295"/>
    </row>
    <row r="11" spans="1:15" ht="13.5" customHeight="1" thickBot="1" x14ac:dyDescent="0.3">
      <c r="A11" s="383">
        <v>2019</v>
      </c>
      <c r="B11" s="383"/>
      <c r="C11" s="261"/>
      <c r="D11" s="262"/>
      <c r="E11" s="263" t="str">
        <f t="shared" si="0"/>
        <v>0,00</v>
      </c>
      <c r="F11" s="263">
        <f>IFERROR('Hilfstabelle 1'!B69,"---")</f>
        <v>120</v>
      </c>
      <c r="G11" s="263">
        <f t="shared" si="1"/>
        <v>0</v>
      </c>
      <c r="H11" s="264">
        <f>IFERROR(G11*C11,"0,00")</f>
        <v>0</v>
      </c>
      <c r="M11" s="297" t="str">
        <f t="shared" si="3"/>
        <v>---</v>
      </c>
      <c r="N11" s="297" t="str">
        <f>IF(H11&gt;0,H11,"---")</f>
        <v>---</v>
      </c>
      <c r="O11" s="295"/>
    </row>
    <row r="12" spans="1:15" ht="13.5" customHeight="1" thickTop="1" x14ac:dyDescent="0.25">
      <c r="A12" s="80"/>
      <c r="B12" s="80"/>
      <c r="C12" s="80"/>
      <c r="D12" s="389" t="s">
        <v>253</v>
      </c>
      <c r="E12" s="389"/>
      <c r="F12" s="389"/>
      <c r="G12" s="82" t="str">
        <f>M12</f>
        <v>0,00</v>
      </c>
      <c r="H12" s="82" t="str">
        <f>N12</f>
        <v>0,00</v>
      </c>
      <c r="M12" s="297" t="str">
        <f>IFERROR((IF(COUNT(M7:M11)&lt;=3,AVERAGE(M7:M11),(SUM(M7:M11)-MIN(M7:M11)-MAX(M7:M11))/((COUNT(M7:M11))-2))),"0,00")</f>
        <v>0,00</v>
      </c>
      <c r="N12" s="297" t="str">
        <f>IFERROR((IF(COUNT(N7:N11)&lt;=3,AVERAGE(N7:N11),(SUM(N7:N11)-MIN(N7:N11)-MAX(N7:N11))/((COUNT(N7:N11))-2))),"0,00")</f>
        <v>0,00</v>
      </c>
      <c r="O12" s="295"/>
    </row>
    <row r="13" spans="1:15" ht="13.5" customHeight="1" x14ac:dyDescent="0.25">
      <c r="A13" s="80"/>
      <c r="B13" s="80"/>
      <c r="C13" s="80"/>
      <c r="D13" s="143"/>
      <c r="E13" s="389" t="s">
        <v>254</v>
      </c>
      <c r="F13" s="389"/>
      <c r="G13" s="256" t="str">
        <f>IFERROR(AVERAGE(M7:M9),"0,00")</f>
        <v>0,00</v>
      </c>
      <c r="H13" s="256" t="str">
        <f>IFERROR(AVERAGE(N7:N9),"0,00")</f>
        <v>0,00</v>
      </c>
      <c r="M13" s="295"/>
      <c r="N13" s="295"/>
      <c r="O13" s="295"/>
    </row>
    <row r="14" spans="1:15" ht="13.5" customHeight="1" x14ac:dyDescent="0.25">
      <c r="A14" s="80"/>
      <c r="B14" s="80"/>
      <c r="C14" s="80"/>
      <c r="D14" s="293"/>
      <c r="E14" s="293"/>
      <c r="F14" s="293"/>
      <c r="G14" s="144"/>
      <c r="H14" s="144"/>
      <c r="M14" s="298">
        <f>MAX(G12:G13)</f>
        <v>0</v>
      </c>
      <c r="N14" s="295"/>
      <c r="O14" s="295"/>
    </row>
    <row r="15" spans="1:15" ht="13.5" customHeight="1" x14ac:dyDescent="0.25">
      <c r="A15" s="396" t="s">
        <v>214</v>
      </c>
      <c r="B15" s="396"/>
      <c r="C15" s="396"/>
      <c r="D15" s="396"/>
      <c r="E15" s="257">
        <f>IFERROR((MAX(G12:G13)-G6)*C6,0)</f>
        <v>0</v>
      </c>
      <c r="H15" s="79"/>
      <c r="M15" s="298">
        <f>MAX(H12:H13)</f>
        <v>0</v>
      </c>
      <c r="N15" s="295"/>
      <c r="O15" s="295"/>
    </row>
    <row r="16" spans="1:15" ht="13.5" customHeight="1" thickBot="1" x14ac:dyDescent="0.3">
      <c r="A16" s="395" t="s">
        <v>215</v>
      </c>
      <c r="B16" s="395"/>
      <c r="C16" s="395"/>
      <c r="D16" s="395"/>
      <c r="E16" s="258">
        <f>IFERROR(((AVERAGE(E7:E11)-E6)*C6*0.5*'Hilfstabelle 1'!R69),0)</f>
        <v>0</v>
      </c>
      <c r="H16" s="79"/>
      <c r="M16" s="295"/>
      <c r="N16" s="295"/>
      <c r="O16" s="295"/>
    </row>
    <row r="17" spans="1:15" ht="13.5" customHeight="1" thickTop="1" x14ac:dyDescent="0.25">
      <c r="A17" s="396" t="s">
        <v>216</v>
      </c>
      <c r="B17" s="396"/>
      <c r="C17" s="396"/>
      <c r="D17" s="396"/>
      <c r="E17" s="259">
        <f>E15-E16</f>
        <v>0</v>
      </c>
      <c r="H17" s="79"/>
      <c r="M17" s="295"/>
      <c r="N17" s="295"/>
      <c r="O17" s="295"/>
    </row>
    <row r="18" spans="1:15" ht="23.25" customHeight="1" x14ac:dyDescent="0.25">
      <c r="A18" s="58"/>
      <c r="B18" s="58"/>
      <c r="C18" s="58"/>
      <c r="H18" s="79"/>
      <c r="M18" s="295"/>
      <c r="N18" s="295"/>
      <c r="O18" s="295"/>
    </row>
    <row r="19" spans="1:15" ht="15" customHeight="1" x14ac:dyDescent="0.25">
      <c r="A19" s="146" t="s">
        <v>115</v>
      </c>
      <c r="B19" s="146"/>
      <c r="C19" s="146"/>
      <c r="D19" s="146"/>
      <c r="E19" s="146"/>
      <c r="F19" s="146"/>
      <c r="G19" s="146"/>
      <c r="H19" s="53"/>
      <c r="M19" s="295"/>
      <c r="N19" s="295"/>
      <c r="O19" s="295"/>
    </row>
    <row r="20" spans="1:15" ht="43.5" customHeight="1" thickBot="1" x14ac:dyDescent="0.3">
      <c r="A20" s="73" t="s">
        <v>83</v>
      </c>
      <c r="B20" s="370" t="s">
        <v>87</v>
      </c>
      <c r="C20" s="371"/>
      <c r="D20" s="74" t="s">
        <v>85</v>
      </c>
      <c r="E20" s="81" t="s">
        <v>213</v>
      </c>
      <c r="F20" s="81" t="s">
        <v>116</v>
      </c>
      <c r="G20" s="81" t="s">
        <v>117</v>
      </c>
      <c r="H20" s="75" t="s">
        <v>84</v>
      </c>
      <c r="J20" s="390" t="s">
        <v>238</v>
      </c>
      <c r="K20" s="390"/>
      <c r="L20" s="390"/>
    </row>
    <row r="21" spans="1:15" ht="15" customHeight="1" x14ac:dyDescent="0.2">
      <c r="A21" s="27"/>
      <c r="B21" s="368">
        <v>1234567899</v>
      </c>
      <c r="C21" s="369"/>
      <c r="D21" s="28" t="s">
        <v>88</v>
      </c>
      <c r="E21" s="30"/>
      <c r="F21" s="31"/>
      <c r="G21" s="56"/>
      <c r="H21" s="54">
        <v>1.0001</v>
      </c>
      <c r="J21" s="390"/>
      <c r="K21" s="390"/>
      <c r="L21" s="390"/>
    </row>
    <row r="22" spans="1:15" ht="15.75" customHeight="1" thickBot="1" x14ac:dyDescent="0.25">
      <c r="A22" s="25"/>
      <c r="B22" s="372"/>
      <c r="C22" s="373"/>
      <c r="D22" s="29"/>
      <c r="E22" s="26" t="s">
        <v>89</v>
      </c>
      <c r="F22" s="51" t="s">
        <v>88</v>
      </c>
      <c r="G22" s="57" t="s">
        <v>88</v>
      </c>
      <c r="H22" s="55">
        <v>2.0001000000000002</v>
      </c>
      <c r="J22" s="390"/>
      <c r="K22" s="390"/>
      <c r="L22" s="390"/>
    </row>
    <row r="23" spans="1:15" ht="21" customHeight="1" x14ac:dyDescent="0.2">
      <c r="A23" s="96">
        <v>1</v>
      </c>
      <c r="B23" s="391"/>
      <c r="C23" s="392"/>
      <c r="D23" s="121" t="s">
        <v>144</v>
      </c>
      <c r="E23" s="117"/>
      <c r="F23" s="118"/>
      <c r="G23" s="119"/>
      <c r="H23" s="120"/>
      <c r="J23" s="390"/>
      <c r="K23" s="390"/>
      <c r="L23" s="390"/>
    </row>
    <row r="24" spans="1:15" ht="15" customHeight="1" x14ac:dyDescent="0.2">
      <c r="A24" s="45"/>
      <c r="B24" s="47"/>
      <c r="C24" s="47"/>
      <c r="D24" s="59"/>
      <c r="E24" s="60"/>
      <c r="F24" s="59"/>
      <c r="G24" s="41"/>
      <c r="H24" s="61"/>
      <c r="J24" s="390"/>
      <c r="K24" s="390"/>
      <c r="L24" s="390"/>
    </row>
    <row r="25" spans="1:15" ht="15" customHeight="1" x14ac:dyDescent="0.2">
      <c r="A25" s="45"/>
      <c r="B25" s="47"/>
      <c r="C25" s="47"/>
      <c r="D25" s="59"/>
      <c r="E25" s="60"/>
      <c r="F25" s="59"/>
      <c r="G25" s="41"/>
      <c r="H25" s="61"/>
      <c r="J25" s="390"/>
      <c r="K25" s="390"/>
      <c r="L25" s="390"/>
    </row>
    <row r="26" spans="1:15" ht="15" customHeight="1" x14ac:dyDescent="0.2">
      <c r="A26" s="45"/>
      <c r="B26" s="47"/>
      <c r="C26" s="47"/>
      <c r="D26" s="59"/>
      <c r="E26" s="60"/>
      <c r="F26" s="59"/>
      <c r="G26" s="41"/>
      <c r="H26" s="61"/>
      <c r="J26" s="390"/>
      <c r="K26" s="390"/>
      <c r="L26" s="390"/>
    </row>
    <row r="27" spans="1:15" ht="15" customHeight="1" x14ac:dyDescent="0.2">
      <c r="A27" s="45"/>
      <c r="B27" s="47"/>
      <c r="C27" s="47"/>
      <c r="D27" s="59"/>
      <c r="E27" s="60"/>
      <c r="F27" s="59"/>
      <c r="G27" s="41"/>
      <c r="H27" s="61"/>
      <c r="J27" s="390"/>
      <c r="K27" s="390"/>
      <c r="L27" s="390"/>
    </row>
    <row r="28" spans="1:15" ht="22.5" customHeight="1" x14ac:dyDescent="0.2">
      <c r="A28" s="45"/>
      <c r="B28" s="47"/>
      <c r="C28" s="47"/>
      <c r="D28" s="59"/>
      <c r="E28" s="60"/>
      <c r="F28" s="59"/>
      <c r="G28" s="41"/>
      <c r="H28" s="61"/>
      <c r="J28" s="390"/>
      <c r="K28" s="390"/>
      <c r="L28" s="390"/>
    </row>
    <row r="29" spans="1:15" ht="15" hidden="1" customHeight="1" x14ac:dyDescent="0.2">
      <c r="A29" s="45"/>
      <c r="B29" s="47"/>
      <c r="C29" s="47"/>
      <c r="D29" s="59"/>
      <c r="E29" s="60"/>
      <c r="F29" s="59"/>
      <c r="G29" s="41"/>
      <c r="H29" s="61"/>
    </row>
    <row r="30" spans="1:15" ht="15" hidden="1" customHeight="1" x14ac:dyDescent="0.2">
      <c r="A30" s="45"/>
      <c r="B30" s="47"/>
      <c r="C30" s="47"/>
      <c r="D30" s="59"/>
      <c r="E30" s="60"/>
      <c r="F30" s="59"/>
      <c r="G30" s="41"/>
      <c r="H30" s="61"/>
    </row>
    <row r="31" spans="1:15" ht="15" hidden="1" customHeight="1" x14ac:dyDescent="0.2">
      <c r="A31" s="45"/>
      <c r="B31" s="47"/>
      <c r="C31" s="47"/>
      <c r="D31" s="59"/>
      <c r="E31" s="60"/>
      <c r="F31" s="59"/>
      <c r="G31" s="41"/>
      <c r="H31" s="61"/>
    </row>
    <row r="32" spans="1:15" ht="15" hidden="1" customHeight="1" x14ac:dyDescent="0.2">
      <c r="A32" s="45"/>
      <c r="B32" s="47"/>
      <c r="C32" s="47"/>
      <c r="D32" s="59"/>
      <c r="E32" s="60"/>
      <c r="F32" s="59"/>
      <c r="G32" s="41"/>
      <c r="H32" s="61"/>
    </row>
    <row r="33" spans="1:8" ht="15" hidden="1" customHeight="1" x14ac:dyDescent="0.2">
      <c r="A33" s="45"/>
      <c r="B33" s="47"/>
      <c r="C33" s="47"/>
      <c r="D33" s="59"/>
      <c r="E33" s="60"/>
      <c r="F33" s="59"/>
      <c r="G33" s="41"/>
      <c r="H33" s="61"/>
    </row>
    <row r="34" spans="1:8" ht="15" hidden="1" customHeight="1" x14ac:dyDescent="0.2">
      <c r="A34" s="45"/>
      <c r="B34" s="47"/>
      <c r="C34" s="47"/>
      <c r="D34" s="59"/>
      <c r="E34" s="60"/>
      <c r="F34" s="59"/>
      <c r="G34" s="41"/>
      <c r="H34" s="61"/>
    </row>
    <row r="35" spans="1:8" ht="15" hidden="1" customHeight="1" x14ac:dyDescent="0.2">
      <c r="A35" s="45"/>
      <c r="B35" s="47"/>
      <c r="C35" s="47"/>
      <c r="D35" s="59"/>
      <c r="E35" s="60"/>
      <c r="F35" s="59"/>
      <c r="G35" s="41"/>
      <c r="H35" s="61"/>
    </row>
    <row r="36" spans="1:8" ht="15" hidden="1" customHeight="1" x14ac:dyDescent="0.2">
      <c r="A36" s="45"/>
      <c r="B36" s="47"/>
      <c r="C36" s="47"/>
      <c r="D36" s="59"/>
      <c r="E36" s="60"/>
      <c r="F36" s="59"/>
      <c r="G36" s="41"/>
      <c r="H36" s="61"/>
    </row>
    <row r="37" spans="1:8" ht="15" hidden="1" customHeight="1" x14ac:dyDescent="0.2">
      <c r="A37" s="45"/>
      <c r="B37" s="47"/>
      <c r="C37" s="47"/>
      <c r="D37" s="59"/>
      <c r="E37" s="60"/>
      <c r="F37" s="59"/>
      <c r="G37" s="41"/>
      <c r="H37" s="61"/>
    </row>
    <row r="38" spans="1:8" ht="15" hidden="1" customHeight="1" x14ac:dyDescent="0.2">
      <c r="A38" s="45"/>
      <c r="B38" s="47"/>
      <c r="C38" s="47"/>
      <c r="D38" s="59"/>
      <c r="E38" s="60"/>
      <c r="F38" s="59"/>
      <c r="G38" s="41"/>
      <c r="H38" s="61"/>
    </row>
    <row r="39" spans="1:8" ht="15" hidden="1" customHeight="1" x14ac:dyDescent="0.2">
      <c r="A39" s="45"/>
      <c r="B39" s="47"/>
      <c r="C39" s="47"/>
      <c r="D39" s="59"/>
      <c r="E39" s="60"/>
      <c r="F39" s="59"/>
      <c r="G39" s="41"/>
      <c r="H39" s="61"/>
    </row>
    <row r="40" spans="1:8" ht="15" hidden="1" customHeight="1" x14ac:dyDescent="0.2">
      <c r="A40" s="45"/>
      <c r="B40" s="47"/>
      <c r="C40" s="47"/>
      <c r="D40" s="59"/>
      <c r="E40" s="60"/>
      <c r="F40" s="59"/>
      <c r="G40" s="41"/>
      <c r="H40" s="61"/>
    </row>
    <row r="41" spans="1:8" ht="15" hidden="1" customHeight="1" x14ac:dyDescent="0.2">
      <c r="A41" s="45"/>
      <c r="B41" s="47"/>
      <c r="C41" s="47"/>
      <c r="D41" s="59"/>
      <c r="E41" s="60"/>
      <c r="F41" s="59"/>
      <c r="G41" s="41"/>
      <c r="H41" s="61"/>
    </row>
    <row r="42" spans="1:8" ht="15" hidden="1" customHeight="1" x14ac:dyDescent="0.2">
      <c r="A42" s="45"/>
      <c r="B42" s="47"/>
      <c r="C42" s="47"/>
      <c r="D42" s="59"/>
      <c r="E42" s="60"/>
      <c r="F42" s="59"/>
      <c r="G42" s="41"/>
      <c r="H42" s="61"/>
    </row>
    <row r="43" spans="1:8" ht="15" hidden="1" customHeight="1" x14ac:dyDescent="0.2">
      <c r="A43" s="45"/>
      <c r="B43" s="47"/>
      <c r="C43" s="47"/>
      <c r="D43" s="59"/>
      <c r="E43" s="60"/>
      <c r="F43" s="59"/>
      <c r="G43" s="41"/>
      <c r="H43" s="61"/>
    </row>
    <row r="44" spans="1:8" ht="15" hidden="1" customHeight="1" x14ac:dyDescent="0.2">
      <c r="A44" s="45"/>
      <c r="B44" s="47"/>
      <c r="C44" s="47"/>
      <c r="D44" s="59"/>
      <c r="E44" s="60"/>
      <c r="F44" s="59"/>
      <c r="G44" s="41"/>
      <c r="H44" s="61"/>
    </row>
    <row r="45" spans="1:8" ht="15" hidden="1" customHeight="1" x14ac:dyDescent="0.2">
      <c r="A45" s="45"/>
      <c r="B45" s="47"/>
      <c r="C45" s="47"/>
      <c r="D45" s="59"/>
      <c r="E45" s="60"/>
      <c r="F45" s="59"/>
      <c r="G45" s="41"/>
      <c r="H45" s="61"/>
    </row>
    <row r="46" spans="1:8" ht="15" hidden="1" customHeight="1" x14ac:dyDescent="0.2">
      <c r="A46" s="45"/>
      <c r="B46" s="47"/>
      <c r="C46" s="47"/>
      <c r="D46" s="59"/>
      <c r="E46" s="60"/>
      <c r="F46" s="59"/>
      <c r="G46" s="41"/>
      <c r="H46" s="61"/>
    </row>
    <row r="47" spans="1:8" ht="15" hidden="1" customHeight="1" x14ac:dyDescent="0.2">
      <c r="A47" s="45"/>
      <c r="B47" s="47"/>
      <c r="C47" s="47"/>
      <c r="D47" s="59"/>
      <c r="E47" s="60"/>
      <c r="F47" s="59"/>
      <c r="G47" s="41"/>
      <c r="H47" s="61"/>
    </row>
    <row r="48" spans="1:8" ht="15" hidden="1" customHeight="1" x14ac:dyDescent="0.2">
      <c r="A48" s="45"/>
      <c r="B48" s="47"/>
      <c r="C48" s="47"/>
      <c r="D48" s="59"/>
      <c r="E48" s="60"/>
      <c r="F48" s="59"/>
      <c r="G48" s="41"/>
      <c r="H48" s="61"/>
    </row>
    <row r="49" spans="1:8" ht="15" hidden="1" customHeight="1" x14ac:dyDescent="0.2">
      <c r="A49" s="45"/>
      <c r="B49" s="47"/>
      <c r="C49" s="47"/>
      <c r="D49" s="59"/>
      <c r="E49" s="60"/>
      <c r="F49" s="59"/>
      <c r="G49" s="41"/>
      <c r="H49" s="61"/>
    </row>
    <row r="50" spans="1:8" ht="15" hidden="1" customHeight="1" x14ac:dyDescent="0.2">
      <c r="A50" s="45"/>
      <c r="B50" s="47"/>
      <c r="C50" s="47"/>
      <c r="D50" s="59"/>
      <c r="E50" s="60"/>
      <c r="F50" s="59"/>
      <c r="G50" s="41"/>
      <c r="H50" s="61"/>
    </row>
    <row r="51" spans="1:8" ht="15" hidden="1" customHeight="1" x14ac:dyDescent="0.2">
      <c r="A51" s="45"/>
      <c r="B51" s="47"/>
      <c r="C51" s="47"/>
      <c r="D51" s="59"/>
      <c r="E51" s="60"/>
      <c r="F51" s="59"/>
      <c r="G51" s="41"/>
      <c r="H51" s="61"/>
    </row>
    <row r="52" spans="1:8" ht="15" hidden="1" customHeight="1" x14ac:dyDescent="0.2">
      <c r="A52" s="45"/>
      <c r="B52" s="47"/>
      <c r="C52" s="47"/>
      <c r="D52" s="59"/>
      <c r="E52" s="60"/>
      <c r="F52" s="59"/>
      <c r="G52" s="41"/>
      <c r="H52" s="61"/>
    </row>
    <row r="53" spans="1:8" ht="15" hidden="1" customHeight="1" x14ac:dyDescent="0.2">
      <c r="A53" s="45"/>
      <c r="B53" s="47"/>
      <c r="C53" s="47"/>
      <c r="D53" s="59"/>
      <c r="E53" s="60"/>
      <c r="F53" s="59"/>
      <c r="G53" s="41"/>
      <c r="H53" s="61"/>
    </row>
    <row r="54" spans="1:8" ht="15" hidden="1" customHeight="1" x14ac:dyDescent="0.2">
      <c r="A54" s="45"/>
      <c r="B54" s="47"/>
      <c r="C54" s="47"/>
      <c r="D54" s="59"/>
      <c r="E54" s="60"/>
      <c r="F54" s="59"/>
      <c r="G54" s="41"/>
      <c r="H54" s="61"/>
    </row>
    <row r="55" spans="1:8" ht="15" hidden="1" customHeight="1" x14ac:dyDescent="0.2">
      <c r="A55" s="45"/>
      <c r="B55" s="47"/>
      <c r="C55" s="47"/>
      <c r="D55" s="59"/>
      <c r="E55" s="60"/>
      <c r="F55" s="59"/>
      <c r="G55" s="41"/>
      <c r="H55" s="61"/>
    </row>
    <row r="56" spans="1:8" ht="15" hidden="1" customHeight="1" x14ac:dyDescent="0.2">
      <c r="A56" s="45"/>
      <c r="B56" s="47"/>
      <c r="C56" s="47"/>
      <c r="D56" s="59"/>
      <c r="E56" s="60"/>
      <c r="F56" s="59"/>
      <c r="G56" s="41"/>
      <c r="H56" s="61"/>
    </row>
    <row r="57" spans="1:8" ht="15" hidden="1" customHeight="1" x14ac:dyDescent="0.2">
      <c r="A57" s="45"/>
      <c r="B57" s="47"/>
      <c r="C57" s="47"/>
      <c r="D57" s="59"/>
      <c r="E57" s="60"/>
      <c r="F57" s="59"/>
      <c r="G57" s="41"/>
      <c r="H57" s="61"/>
    </row>
    <row r="58" spans="1:8" ht="15" hidden="1" customHeight="1" x14ac:dyDescent="0.2">
      <c r="A58" s="45"/>
      <c r="B58" s="47"/>
      <c r="C58" s="47"/>
      <c r="D58" s="59"/>
      <c r="E58" s="60"/>
      <c r="F58" s="59"/>
      <c r="G58" s="41"/>
      <c r="H58" s="61"/>
    </row>
    <row r="59" spans="1:8" ht="15" hidden="1" customHeight="1" x14ac:dyDescent="0.2">
      <c r="A59" s="45"/>
      <c r="B59" s="47"/>
      <c r="C59" s="47"/>
      <c r="D59" s="59"/>
      <c r="E59" s="60"/>
      <c r="F59" s="59"/>
      <c r="G59" s="41"/>
      <c r="H59" s="61"/>
    </row>
    <row r="60" spans="1:8" ht="15" hidden="1" customHeight="1" x14ac:dyDescent="0.2">
      <c r="A60" s="45"/>
      <c r="B60" s="47"/>
      <c r="C60" s="47"/>
      <c r="D60" s="59"/>
      <c r="E60" s="60"/>
      <c r="F60" s="59"/>
      <c r="G60" s="41"/>
      <c r="H60" s="61"/>
    </row>
    <row r="61" spans="1:8" ht="15" hidden="1" customHeight="1" x14ac:dyDescent="0.2">
      <c r="A61" s="45"/>
      <c r="B61" s="47"/>
      <c r="C61" s="47"/>
      <c r="D61" s="59"/>
      <c r="E61" s="60"/>
      <c r="F61" s="59"/>
      <c r="G61" s="41"/>
      <c r="H61" s="61"/>
    </row>
    <row r="62" spans="1:8" ht="15" hidden="1" customHeight="1" x14ac:dyDescent="0.2">
      <c r="A62" s="45"/>
      <c r="B62" s="47"/>
      <c r="C62" s="47"/>
      <c r="D62" s="59"/>
      <c r="E62" s="60"/>
      <c r="F62" s="59"/>
      <c r="G62" s="41"/>
      <c r="H62" s="61"/>
    </row>
    <row r="63" spans="1:8" ht="15" hidden="1" customHeight="1" x14ac:dyDescent="0.2">
      <c r="A63" s="45"/>
      <c r="B63" s="47"/>
      <c r="C63" s="47"/>
      <c r="D63" s="59"/>
      <c r="E63" s="60"/>
      <c r="F63" s="59"/>
      <c r="G63" s="41"/>
      <c r="H63" s="61"/>
    </row>
    <row r="64" spans="1:8" ht="15" hidden="1" customHeight="1" x14ac:dyDescent="0.2">
      <c r="A64" s="45"/>
      <c r="B64" s="47"/>
      <c r="C64" s="47"/>
      <c r="D64" s="59"/>
      <c r="E64" s="60"/>
      <c r="F64" s="59"/>
      <c r="G64" s="41"/>
      <c r="H64" s="61"/>
    </row>
    <row r="65" spans="1:8" ht="15" hidden="1" customHeight="1" x14ac:dyDescent="0.2">
      <c r="A65" s="45"/>
      <c r="B65" s="47"/>
      <c r="C65" s="47"/>
      <c r="D65" s="59"/>
      <c r="E65" s="60"/>
      <c r="F65" s="59"/>
      <c r="G65" s="41"/>
      <c r="H65" s="61"/>
    </row>
    <row r="66" spans="1:8" ht="15" hidden="1" customHeight="1" x14ac:dyDescent="0.2">
      <c r="A66" s="45"/>
      <c r="B66" s="47"/>
      <c r="C66" s="47"/>
      <c r="D66" s="59"/>
      <c r="E66" s="60"/>
      <c r="F66" s="59"/>
      <c r="G66" s="41"/>
      <c r="H66" s="61"/>
    </row>
    <row r="67" spans="1:8" ht="15" hidden="1" customHeight="1" x14ac:dyDescent="0.2">
      <c r="A67" s="45"/>
      <c r="B67" s="47"/>
      <c r="C67" s="47"/>
      <c r="D67" s="59"/>
      <c r="E67" s="60"/>
      <c r="F67" s="59"/>
      <c r="G67" s="41"/>
      <c r="H67" s="61"/>
    </row>
    <row r="68" spans="1:8" ht="15" hidden="1" customHeight="1" x14ac:dyDescent="0.2">
      <c r="A68" s="45"/>
      <c r="B68" s="47"/>
      <c r="C68" s="47"/>
      <c r="D68" s="59"/>
      <c r="E68" s="60"/>
      <c r="F68" s="59"/>
      <c r="G68" s="41"/>
      <c r="H68" s="61"/>
    </row>
    <row r="69" spans="1:8" ht="15" hidden="1" customHeight="1" x14ac:dyDescent="0.2">
      <c r="A69" s="45"/>
      <c r="B69" s="47"/>
      <c r="C69" s="47"/>
      <c r="D69" s="59"/>
      <c r="E69" s="60"/>
      <c r="F69" s="59"/>
      <c r="G69" s="41"/>
      <c r="H69" s="61"/>
    </row>
    <row r="70" spans="1:8" ht="15" hidden="1" customHeight="1" x14ac:dyDescent="0.2">
      <c r="A70" s="45"/>
      <c r="B70" s="47"/>
      <c r="C70" s="47"/>
      <c r="D70" s="59"/>
      <c r="E70" s="60"/>
      <c r="F70" s="59"/>
      <c r="G70" s="41"/>
      <c r="H70" s="61"/>
    </row>
    <row r="71" spans="1:8" ht="15" hidden="1" customHeight="1" x14ac:dyDescent="0.2">
      <c r="A71" s="45"/>
      <c r="B71" s="47"/>
      <c r="C71" s="47"/>
      <c r="D71" s="59"/>
      <c r="E71" s="60"/>
      <c r="F71" s="59"/>
      <c r="G71" s="41"/>
      <c r="H71" s="61"/>
    </row>
    <row r="72" spans="1:8" ht="15" hidden="1" customHeight="1" x14ac:dyDescent="0.2">
      <c r="A72" s="45"/>
      <c r="B72" s="47"/>
      <c r="C72" s="47"/>
      <c r="D72" s="59"/>
      <c r="E72" s="60"/>
      <c r="F72" s="59"/>
      <c r="G72" s="41"/>
      <c r="H72" s="61"/>
    </row>
    <row r="73" spans="1:8" ht="15" hidden="1" customHeight="1" x14ac:dyDescent="0.25">
      <c r="G73" s="62"/>
      <c r="H73" s="63"/>
    </row>
    <row r="74" spans="1:8" ht="15" hidden="1" customHeight="1" x14ac:dyDescent="0.2">
      <c r="F74" s="41"/>
      <c r="G74" s="41"/>
      <c r="H74" s="41"/>
    </row>
    <row r="75" spans="1:8" ht="15" hidden="1" customHeight="1" x14ac:dyDescent="0.25"/>
    <row r="76" spans="1:8" ht="15" hidden="1" customHeight="1" x14ac:dyDescent="0.25"/>
    <row r="77" spans="1:8" ht="15" hidden="1" customHeight="1" x14ac:dyDescent="0.25"/>
    <row r="78" spans="1:8" ht="15" hidden="1" customHeight="1" x14ac:dyDescent="0.25"/>
    <row r="79" spans="1:8" ht="15" hidden="1" customHeight="1" x14ac:dyDescent="0.25"/>
    <row r="80" spans="1:8"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sheetData>
  <sheetProtection algorithmName="SHA-512" hashValue="L5wP+kU2ylaLfVhnyO4cuVtK0cQNiCujjtllHSqks9HAv9qKE/mRB9QTYtLiC4ICf2Vp8T2zJaVUOmMvWEIhMg==" saltValue="EZSSyxUZukOw2gpP9B5yDg==" spinCount="100000" sheet="1" objects="1" scenarios="1" selectLockedCells="1"/>
  <mergeCells count="26">
    <mergeCell ref="A2:H2"/>
    <mergeCell ref="D12:F12"/>
    <mergeCell ref="J3:L7"/>
    <mergeCell ref="J20:L28"/>
    <mergeCell ref="B23:C23"/>
    <mergeCell ref="A9:B9"/>
    <mergeCell ref="A16:D16"/>
    <mergeCell ref="A15:D15"/>
    <mergeCell ref="A17:D17"/>
    <mergeCell ref="E13:F13"/>
    <mergeCell ref="A1:L1"/>
    <mergeCell ref="B21:C21"/>
    <mergeCell ref="B20:C20"/>
    <mergeCell ref="B22:C22"/>
    <mergeCell ref="G3:G5"/>
    <mergeCell ref="H3:H5"/>
    <mergeCell ref="A3:B5"/>
    <mergeCell ref="C3:C5"/>
    <mergeCell ref="D3:D5"/>
    <mergeCell ref="E3:E5"/>
    <mergeCell ref="F3:F5"/>
    <mergeCell ref="A11:B11"/>
    <mergeCell ref="A10:B10"/>
    <mergeCell ref="A6:B6"/>
    <mergeCell ref="A7:B7"/>
    <mergeCell ref="A8:B8"/>
  </mergeCells>
  <pageMargins left="0.7" right="0.7" top="0.78740157499999996" bottom="0.78740157499999996"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locked="0" defaultSize="0" autoFill="0" autoLine="0" autoPict="0">
                <anchor moveWithCells="1">
                  <from>
                    <xdr:col>0</xdr:col>
                    <xdr:colOff>9525</xdr:colOff>
                    <xdr:row>23</xdr:row>
                    <xdr:rowOff>76200</xdr:rowOff>
                  </from>
                  <to>
                    <xdr:col>7</xdr:col>
                    <xdr:colOff>819150</xdr:colOff>
                    <xdr:row>24</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A11F2CE-7534-4904-8151-78600E386EFC}">
          <x14:formula1>
            <xm:f>'Hilfstabelle 2'!$B$2:$B$80</xm:f>
          </x14:formula1>
          <xm:sqref>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3D27-EA8C-428B-AD38-310DE54A889A}">
  <sheetPr codeName="Tabelle3"/>
  <dimension ref="A1:AI236"/>
  <sheetViews>
    <sheetView showGridLines="0" tabSelected="1" zoomScaleNormal="100" workbookViewId="0">
      <selection activeCell="C6" sqref="C6"/>
    </sheetView>
  </sheetViews>
  <sheetFormatPr baseColWidth="10" defaultColWidth="0" defaultRowHeight="15" zeroHeight="1" x14ac:dyDescent="0.25"/>
  <cols>
    <col min="1" max="1" width="15.140625" customWidth="1"/>
    <col min="2" max="2" width="21.28515625" customWidth="1"/>
    <col min="3" max="27" width="13.42578125" style="4" customWidth="1"/>
    <col min="28" max="28" width="16" customWidth="1"/>
    <col min="29" max="29" width="11.42578125" hidden="1" customWidth="1"/>
    <col min="30" max="30" width="19.140625" hidden="1" customWidth="1"/>
    <col min="31" max="31" width="0" hidden="1" customWidth="1"/>
    <col min="32" max="33" width="11.42578125" customWidth="1"/>
    <col min="34" max="16384" width="11.42578125" hidden="1"/>
  </cols>
  <sheetData>
    <row r="1" spans="1:27" ht="37.5" customHeight="1" x14ac:dyDescent="0.25">
      <c r="A1" s="406" t="s">
        <v>119</v>
      </c>
      <c r="B1" s="406"/>
      <c r="C1" s="406"/>
      <c r="D1" s="406"/>
      <c r="E1" s="406"/>
      <c r="F1" s="406"/>
      <c r="G1" s="406"/>
      <c r="H1" s="406"/>
      <c r="I1" s="406"/>
      <c r="J1" s="406"/>
      <c r="K1" s="406"/>
      <c r="L1" s="406"/>
      <c r="M1" s="406"/>
    </row>
    <row r="2" spans="1:27" ht="24" customHeight="1" x14ac:dyDescent="0.25">
      <c r="A2" s="87" t="s">
        <v>120</v>
      </c>
      <c r="B2" s="86"/>
      <c r="C2" s="86"/>
      <c r="D2" s="86"/>
      <c r="E2" s="86"/>
      <c r="F2" s="86"/>
      <c r="G2" s="86"/>
      <c r="H2" s="86"/>
      <c r="I2" s="86"/>
      <c r="J2" s="86"/>
      <c r="K2" s="86"/>
      <c r="L2" s="86"/>
      <c r="M2" s="86"/>
    </row>
    <row r="3" spans="1:27" ht="24" customHeight="1" x14ac:dyDescent="0.25">
      <c r="A3" s="407" t="s">
        <v>122</v>
      </c>
      <c r="B3" s="407"/>
      <c r="C3" s="407"/>
      <c r="D3" s="407"/>
      <c r="E3" s="407"/>
      <c r="F3" s="407"/>
      <c r="G3" s="407"/>
      <c r="H3" s="407"/>
      <c r="I3" s="86"/>
      <c r="J3" s="265" t="s">
        <v>121</v>
      </c>
      <c r="K3" s="86"/>
      <c r="L3" s="86"/>
      <c r="M3" s="86"/>
    </row>
    <row r="4" spans="1:27" ht="24" customHeight="1" x14ac:dyDescent="0.25">
      <c r="A4" s="407"/>
      <c r="B4" s="407"/>
      <c r="C4" s="407"/>
      <c r="D4" s="407"/>
      <c r="E4" s="407"/>
      <c r="F4" s="407"/>
      <c r="G4" s="407"/>
      <c r="H4" s="407"/>
      <c r="I4" s="86"/>
      <c r="J4" s="409" t="str">
        <f ca="1">IF(SUM(C13:AA13)&lt;&gt;J135,"Flächenangaben stimmen nicht mit Flächenerfassung überein","korrekt")</f>
        <v>korrekt</v>
      </c>
      <c r="K4" s="409"/>
      <c r="L4" s="409"/>
      <c r="M4" s="409"/>
      <c r="N4" s="409"/>
    </row>
    <row r="5" spans="1:27" s="77" customFormat="1" ht="55.5" customHeight="1" x14ac:dyDescent="0.25">
      <c r="A5" s="408"/>
      <c r="B5" s="408"/>
      <c r="C5" s="408"/>
      <c r="D5" s="408"/>
      <c r="E5" s="408"/>
      <c r="F5" s="408"/>
      <c r="G5" s="408"/>
      <c r="H5" s="408"/>
      <c r="I5" s="91"/>
      <c r="L5" s="91"/>
      <c r="M5" s="91"/>
      <c r="N5" s="91"/>
    </row>
    <row r="6" spans="1:27" ht="37.5" customHeight="1" thickBot="1" x14ac:dyDescent="0.3">
      <c r="A6" s="426" t="s">
        <v>20</v>
      </c>
      <c r="B6" s="427"/>
      <c r="C6" s="97"/>
      <c r="D6" s="97"/>
      <c r="E6" s="97"/>
      <c r="F6" s="97"/>
      <c r="G6" s="97"/>
      <c r="H6" s="97"/>
      <c r="I6" s="97"/>
      <c r="J6" s="97"/>
      <c r="K6" s="97"/>
      <c r="L6" s="97"/>
      <c r="M6" s="97"/>
      <c r="N6" s="97"/>
      <c r="O6" s="97"/>
      <c r="P6" s="97"/>
      <c r="Q6" s="97"/>
      <c r="R6" s="97"/>
      <c r="S6" s="97"/>
      <c r="T6" s="97"/>
      <c r="U6" s="97"/>
      <c r="V6" s="97"/>
      <c r="W6" s="97"/>
      <c r="X6" s="97"/>
      <c r="Y6" s="97"/>
      <c r="Z6" s="97"/>
      <c r="AA6" s="98"/>
    </row>
    <row r="7" spans="1:27" ht="17.25" customHeight="1" x14ac:dyDescent="0.25">
      <c r="A7" s="413" t="s">
        <v>205</v>
      </c>
      <c r="B7" s="88">
        <v>2023</v>
      </c>
      <c r="C7" s="94"/>
      <c r="D7" s="100"/>
      <c r="E7" s="100"/>
      <c r="F7" s="100"/>
      <c r="G7" s="100"/>
      <c r="H7" s="100"/>
      <c r="I7" s="100"/>
      <c r="J7" s="100"/>
      <c r="K7" s="100"/>
      <c r="L7" s="100"/>
      <c r="M7" s="100"/>
      <c r="N7" s="100"/>
      <c r="O7" s="100"/>
      <c r="P7" s="100"/>
      <c r="Q7" s="100"/>
      <c r="R7" s="100"/>
      <c r="S7" s="100"/>
      <c r="T7" s="100"/>
      <c r="U7" s="100"/>
      <c r="V7" s="100"/>
      <c r="W7" s="100"/>
      <c r="X7" s="100"/>
      <c r="Y7" s="100"/>
      <c r="Z7" s="100"/>
      <c r="AA7" s="100"/>
    </row>
    <row r="8" spans="1:27" ht="17.25" customHeight="1" x14ac:dyDescent="0.25">
      <c r="A8" s="413"/>
      <c r="B8" s="88">
        <v>2022</v>
      </c>
      <c r="C8" s="94"/>
      <c r="D8" s="100"/>
      <c r="E8" s="100"/>
      <c r="F8" s="100"/>
      <c r="G8" s="100"/>
      <c r="H8" s="100"/>
      <c r="I8" s="100"/>
      <c r="J8" s="100"/>
      <c r="K8" s="100"/>
      <c r="L8" s="100"/>
      <c r="M8" s="100"/>
      <c r="N8" s="100"/>
      <c r="O8" s="100"/>
      <c r="P8" s="100"/>
      <c r="Q8" s="100"/>
      <c r="R8" s="100"/>
      <c r="S8" s="100"/>
      <c r="T8" s="100"/>
      <c r="U8" s="100"/>
      <c r="V8" s="100"/>
      <c r="W8" s="100"/>
      <c r="X8" s="100"/>
      <c r="Y8" s="100"/>
      <c r="Z8" s="100"/>
      <c r="AA8" s="100"/>
    </row>
    <row r="9" spans="1:27" ht="17.25" customHeight="1" x14ac:dyDescent="0.25">
      <c r="A9" s="413"/>
      <c r="B9" s="88">
        <v>2021</v>
      </c>
      <c r="C9" s="94"/>
      <c r="D9" s="100"/>
      <c r="E9" s="100"/>
      <c r="F9" s="100"/>
      <c r="G9" s="100"/>
      <c r="H9" s="100"/>
      <c r="I9" s="100"/>
      <c r="J9" s="100"/>
      <c r="K9" s="100"/>
      <c r="L9" s="100"/>
      <c r="M9" s="100"/>
      <c r="N9" s="100"/>
      <c r="O9" s="100"/>
      <c r="P9" s="100"/>
      <c r="Q9" s="100"/>
      <c r="R9" s="100"/>
      <c r="S9" s="100"/>
      <c r="T9" s="100"/>
      <c r="U9" s="100"/>
      <c r="V9" s="100"/>
      <c r="W9" s="100"/>
      <c r="X9" s="100"/>
      <c r="Y9" s="100"/>
      <c r="Z9" s="100"/>
      <c r="AA9" s="100"/>
    </row>
    <row r="10" spans="1:27" ht="17.25" customHeight="1" x14ac:dyDescent="0.25">
      <c r="A10" s="413"/>
      <c r="B10" s="88">
        <v>2020</v>
      </c>
      <c r="C10" s="94"/>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17.25" customHeight="1" thickBot="1" x14ac:dyDescent="0.3">
      <c r="A11" s="414"/>
      <c r="B11" s="269">
        <v>2019</v>
      </c>
      <c r="C11" s="270"/>
      <c r="D11" s="95"/>
      <c r="E11" s="95"/>
      <c r="F11" s="95"/>
      <c r="G11" s="95"/>
      <c r="H11" s="95"/>
      <c r="I11" s="95"/>
      <c r="J11" s="95"/>
      <c r="K11" s="95"/>
      <c r="L11" s="95"/>
      <c r="M11" s="95"/>
      <c r="N11" s="95"/>
      <c r="O11" s="95"/>
      <c r="P11" s="95"/>
      <c r="Q11" s="95"/>
      <c r="R11" s="95"/>
      <c r="S11" s="95"/>
      <c r="T11" s="95"/>
      <c r="U11" s="95"/>
      <c r="V11" s="95"/>
      <c r="W11" s="95"/>
      <c r="X11" s="95"/>
      <c r="Y11" s="95"/>
      <c r="Z11" s="95"/>
      <c r="AA11" s="95"/>
    </row>
    <row r="12" spans="1:27" ht="30.75" customHeight="1" x14ac:dyDescent="0.25">
      <c r="A12" s="421" t="s">
        <v>206</v>
      </c>
      <c r="B12" s="422"/>
      <c r="C12" s="286"/>
      <c r="D12" s="287"/>
      <c r="E12" s="99"/>
      <c r="F12" s="99"/>
      <c r="G12" s="99"/>
      <c r="H12" s="99"/>
      <c r="I12" s="99"/>
      <c r="J12" s="99"/>
      <c r="K12" s="99"/>
      <c r="L12" s="99"/>
      <c r="M12" s="99"/>
      <c r="N12" s="99"/>
      <c r="O12" s="99"/>
      <c r="P12" s="99"/>
      <c r="Q12" s="99"/>
      <c r="R12" s="99"/>
      <c r="S12" s="99"/>
      <c r="T12" s="99"/>
      <c r="U12" s="99"/>
      <c r="V12" s="99"/>
      <c r="W12" s="99"/>
      <c r="X12" s="99"/>
      <c r="Y12" s="99"/>
      <c r="Z12" s="99"/>
      <c r="AA12" s="99"/>
    </row>
    <row r="13" spans="1:27" ht="30.75" customHeight="1" x14ac:dyDescent="0.25">
      <c r="A13" s="410" t="s">
        <v>242</v>
      </c>
      <c r="B13" s="411"/>
      <c r="C13" s="282">
        <f t="shared" ref="C13:AA13" ca="1" si="0">SUMIF($H$35:$J$134,C6,$J$35:$J$134)</f>
        <v>0</v>
      </c>
      <c r="D13" s="282">
        <f t="shared" ca="1" si="0"/>
        <v>0</v>
      </c>
      <c r="E13" s="282">
        <f t="shared" ca="1" si="0"/>
        <v>0</v>
      </c>
      <c r="F13" s="282">
        <f t="shared" ca="1" si="0"/>
        <v>0</v>
      </c>
      <c r="G13" s="282">
        <f t="shared" ca="1" si="0"/>
        <v>0</v>
      </c>
      <c r="H13" s="282">
        <f t="shared" ca="1" si="0"/>
        <v>0</v>
      </c>
      <c r="I13" s="282">
        <f t="shared" ca="1" si="0"/>
        <v>0</v>
      </c>
      <c r="J13" s="282">
        <f t="shared" ca="1" si="0"/>
        <v>0</v>
      </c>
      <c r="K13" s="282">
        <f t="shared" ca="1" si="0"/>
        <v>0</v>
      </c>
      <c r="L13" s="282">
        <f t="shared" ca="1" si="0"/>
        <v>0</v>
      </c>
      <c r="M13" s="282">
        <f t="shared" ca="1" si="0"/>
        <v>0</v>
      </c>
      <c r="N13" s="282">
        <f t="shared" ca="1" si="0"/>
        <v>0</v>
      </c>
      <c r="O13" s="282">
        <f t="shared" ca="1" si="0"/>
        <v>0</v>
      </c>
      <c r="P13" s="282">
        <f t="shared" ca="1" si="0"/>
        <v>0</v>
      </c>
      <c r="Q13" s="282">
        <f t="shared" ca="1" si="0"/>
        <v>0</v>
      </c>
      <c r="R13" s="282">
        <f t="shared" ca="1" si="0"/>
        <v>0</v>
      </c>
      <c r="S13" s="282">
        <f t="shared" ca="1" si="0"/>
        <v>0</v>
      </c>
      <c r="T13" s="282">
        <f t="shared" ca="1" si="0"/>
        <v>0</v>
      </c>
      <c r="U13" s="282">
        <f t="shared" ca="1" si="0"/>
        <v>0</v>
      </c>
      <c r="V13" s="282">
        <f t="shared" ca="1" si="0"/>
        <v>0</v>
      </c>
      <c r="W13" s="282">
        <f t="shared" ca="1" si="0"/>
        <v>0</v>
      </c>
      <c r="X13" s="282">
        <f t="shared" ca="1" si="0"/>
        <v>0</v>
      </c>
      <c r="Y13" s="282">
        <f t="shared" ca="1" si="0"/>
        <v>0</v>
      </c>
      <c r="Z13" s="282">
        <f t="shared" ca="1" si="0"/>
        <v>0</v>
      </c>
      <c r="AA13" s="283">
        <f t="shared" ca="1" si="0"/>
        <v>0</v>
      </c>
    </row>
    <row r="14" spans="1:27" ht="17.25" hidden="1" customHeight="1" x14ac:dyDescent="0.25">
      <c r="A14" s="428" t="s">
        <v>208</v>
      </c>
      <c r="B14" s="429"/>
      <c r="C14" s="281" t="str">
        <f>IFERROR((VLOOKUP(C6,'Hilfstabelle 1'!$A$4:$H$65,8,FALSE)),"---")</f>
        <v>---</v>
      </c>
      <c r="D14" s="281" t="str">
        <f>IFERROR((VLOOKUP(D6,'Hilfstabelle 1'!$A$4:$H$65,8,FALSE)),"---")</f>
        <v>---</v>
      </c>
      <c r="E14" s="281" t="str">
        <f>IFERROR((VLOOKUP(E6,'Hilfstabelle 1'!$A$4:$H$65,8,FALSE)),"---")</f>
        <v>---</v>
      </c>
      <c r="F14" s="281" t="str">
        <f>IFERROR((VLOOKUP(F6,'Hilfstabelle 1'!$A$4:$H$65,8,FALSE)),"---")</f>
        <v>---</v>
      </c>
      <c r="G14" s="281" t="str">
        <f>IFERROR((VLOOKUP(G6,'Hilfstabelle 1'!$A$4:$H$65,8,FALSE)),"---")</f>
        <v>---</v>
      </c>
      <c r="H14" s="281" t="str">
        <f>IFERROR((VLOOKUP(H6,'Hilfstabelle 1'!$A$4:$H$65,8,FALSE)),"---")</f>
        <v>---</v>
      </c>
      <c r="I14" s="281" t="str">
        <f>IFERROR((VLOOKUP(I6,'Hilfstabelle 1'!$A$4:$H$65,8,FALSE)),"---")</f>
        <v>---</v>
      </c>
      <c r="J14" s="281" t="str">
        <f>IFERROR((VLOOKUP(J6,'Hilfstabelle 1'!$A$4:$H$65,8,FALSE)),"---")</f>
        <v>---</v>
      </c>
      <c r="K14" s="281" t="str">
        <f>IFERROR((VLOOKUP(K6,'Hilfstabelle 1'!$A$4:$H$65,8,FALSE)),"---")</f>
        <v>---</v>
      </c>
      <c r="L14" s="281" t="str">
        <f>IFERROR((VLOOKUP(L6,'Hilfstabelle 1'!$A$4:$H$65,8,FALSE)),"---")</f>
        <v>---</v>
      </c>
      <c r="M14" s="281" t="str">
        <f>IFERROR((VLOOKUP(M6,'Hilfstabelle 1'!$A$4:$H$65,8,FALSE)),"---")</f>
        <v>---</v>
      </c>
      <c r="N14" s="281" t="str">
        <f>IFERROR((VLOOKUP(N6,'Hilfstabelle 1'!$A$4:$H$65,8,FALSE)),"---")</f>
        <v>---</v>
      </c>
      <c r="O14" s="281" t="str">
        <f>IFERROR((VLOOKUP(O6,'Hilfstabelle 1'!$A$4:$H$65,8,FALSE)),"---")</f>
        <v>---</v>
      </c>
      <c r="P14" s="281" t="str">
        <f>IFERROR((VLOOKUP(P6,'Hilfstabelle 1'!$A$4:$H$65,8,FALSE)),"---")</f>
        <v>---</v>
      </c>
      <c r="Q14" s="281" t="str">
        <f>IFERROR((VLOOKUP(Q6,'Hilfstabelle 1'!$A$4:$H$65,8,FALSE)),"---")</f>
        <v>---</v>
      </c>
      <c r="R14" s="281" t="str">
        <f>IFERROR((VLOOKUP(R6,'Hilfstabelle 1'!$A$4:$H$65,8,FALSE)),"---")</f>
        <v>---</v>
      </c>
      <c r="S14" s="281" t="str">
        <f>IFERROR((VLOOKUP(S6,'Hilfstabelle 1'!$A$4:$H$65,8,FALSE)),"---")</f>
        <v>---</v>
      </c>
      <c r="T14" s="281" t="str">
        <f>IFERROR((VLOOKUP(T6,'Hilfstabelle 1'!$A$4:$H$65,8,FALSE)),"---")</f>
        <v>---</v>
      </c>
      <c r="U14" s="281" t="str">
        <f>IFERROR((VLOOKUP(U6,'Hilfstabelle 1'!$A$4:$H$65,8,FALSE)),"---")</f>
        <v>---</v>
      </c>
      <c r="V14" s="281" t="str">
        <f>IFERROR((VLOOKUP(V6,'Hilfstabelle 1'!$A$4:$H$65,8,FALSE)),"---")</f>
        <v>---</v>
      </c>
      <c r="W14" s="281" t="str">
        <f>IFERROR((VLOOKUP(W6,'Hilfstabelle 1'!$A$4:$H$65,8,FALSE)),"---")</f>
        <v>---</v>
      </c>
      <c r="X14" s="281" t="str">
        <f>IFERROR((VLOOKUP(X6,'Hilfstabelle 1'!$A$4:$H$65,8,FALSE)),"---")</f>
        <v>---</v>
      </c>
      <c r="Y14" s="281" t="str">
        <f>IFERROR((VLOOKUP(Y6,'Hilfstabelle 1'!$A$4:$H$65,8,FALSE)),"---")</f>
        <v>---</v>
      </c>
      <c r="Z14" s="281" t="str">
        <f>IFERROR((VLOOKUP(Z6,'Hilfstabelle 1'!$A$4:$H$65,8,FALSE)),"---")</f>
        <v>---</v>
      </c>
      <c r="AA14" s="284" t="str">
        <f>IFERROR((VLOOKUP(AA6,'Hilfstabelle 1'!$A$4:$H$65,8,FALSE)),"---")</f>
        <v>---</v>
      </c>
    </row>
    <row r="15" spans="1:27" ht="17.25" customHeight="1" x14ac:dyDescent="0.25">
      <c r="A15" s="291"/>
      <c r="B15" s="285" t="s">
        <v>243</v>
      </c>
      <c r="C15" s="281">
        <f ca="1">IFERROR(C14*((VLOOKUP(C6,'Hilfstabelle 1'!$A$4:$T$65,14,FALSE)-('2) Obst-Erntemengenerhebung'!C12/C13))),0)</f>
        <v>0</v>
      </c>
      <c r="D15" s="281">
        <f ca="1">IFERROR(D14*((VLOOKUP(D6,'Hilfstabelle 1'!$A$4:$T$65,14,FALSE)-('2) Obst-Erntemengenerhebung'!D12/D13))),0)</f>
        <v>0</v>
      </c>
      <c r="E15" s="281">
        <f ca="1">IFERROR(E14*((VLOOKUP(E6,'Hilfstabelle 1'!$A$4:$T$65,14,FALSE)-('2) Obst-Erntemengenerhebung'!E12/E13))),0)</f>
        <v>0</v>
      </c>
      <c r="F15" s="281">
        <f ca="1">IFERROR(F14*((VLOOKUP(F6,'Hilfstabelle 1'!$A$4:$T$65,14,FALSE)-('2) Obst-Erntemengenerhebung'!F12/F13))),0)</f>
        <v>0</v>
      </c>
      <c r="G15" s="281">
        <f ca="1">IFERROR(G14*((VLOOKUP(G6,'Hilfstabelle 1'!$A$4:$T$65,14,FALSE)-('2) Obst-Erntemengenerhebung'!G12/G13))),0)</f>
        <v>0</v>
      </c>
      <c r="H15" s="281">
        <f ca="1">IFERROR(H14*((VLOOKUP(H6,'Hilfstabelle 1'!$A$4:$T$65,14,FALSE)-('2) Obst-Erntemengenerhebung'!H12/H13))),0)</f>
        <v>0</v>
      </c>
      <c r="I15" s="281">
        <f ca="1">IFERROR(I14*((VLOOKUP(I6,'Hilfstabelle 1'!$A$4:$T$65,14,FALSE)-('2) Obst-Erntemengenerhebung'!I12/I13))),0)</f>
        <v>0</v>
      </c>
      <c r="J15" s="281">
        <f ca="1">IFERROR(J14*((VLOOKUP(J6,'Hilfstabelle 1'!$A$4:$T$65,14,FALSE)-('2) Obst-Erntemengenerhebung'!J12/J13))),0)</f>
        <v>0</v>
      </c>
      <c r="K15" s="281">
        <f ca="1">IFERROR(K14*((VLOOKUP(K6,'Hilfstabelle 1'!$A$4:$T$65,14,FALSE)-('2) Obst-Erntemengenerhebung'!K12/K13))),0)</f>
        <v>0</v>
      </c>
      <c r="L15" s="281">
        <f ca="1">IFERROR(L14*((VLOOKUP(L6,'Hilfstabelle 1'!$A$4:$T$65,14,FALSE)-('2) Obst-Erntemengenerhebung'!L12/L13))),0)</f>
        <v>0</v>
      </c>
      <c r="M15" s="281">
        <f ca="1">IFERROR(M14*((VLOOKUP(M6,'Hilfstabelle 1'!$A$4:$T$65,14,FALSE)-('2) Obst-Erntemengenerhebung'!M12/M13))),0)</f>
        <v>0</v>
      </c>
      <c r="N15" s="281">
        <f ca="1">IFERROR(N14*((VLOOKUP(N6,'Hilfstabelle 1'!$A$4:$T$65,14,FALSE)-('2) Obst-Erntemengenerhebung'!N12/N13))),0)</f>
        <v>0</v>
      </c>
      <c r="O15" s="281">
        <f ca="1">IFERROR(O14*((VLOOKUP(O6,'Hilfstabelle 1'!$A$4:$T$65,14,FALSE)-('2) Obst-Erntemengenerhebung'!O12/O13))),0)</f>
        <v>0</v>
      </c>
      <c r="P15" s="281">
        <f ca="1">IFERROR(P14*((VLOOKUP(P6,'Hilfstabelle 1'!$A$4:$T$65,14,FALSE)-('2) Obst-Erntemengenerhebung'!P12/P13))),0)</f>
        <v>0</v>
      </c>
      <c r="Q15" s="281">
        <f ca="1">IFERROR(Q14*((VLOOKUP(Q6,'Hilfstabelle 1'!$A$4:$T$65,14,FALSE)-('2) Obst-Erntemengenerhebung'!Q12/Q13))),0)</f>
        <v>0</v>
      </c>
      <c r="R15" s="281">
        <f ca="1">IFERROR(R14*((VLOOKUP(R6,'Hilfstabelle 1'!$A$4:$T$65,14,FALSE)-('2) Obst-Erntemengenerhebung'!R12/R13))),0)</f>
        <v>0</v>
      </c>
      <c r="S15" s="281">
        <f ca="1">IFERROR(S14*((VLOOKUP(S6,'Hilfstabelle 1'!$A$4:$T$65,14,FALSE)-('2) Obst-Erntemengenerhebung'!S12/S13))),0)</f>
        <v>0</v>
      </c>
      <c r="T15" s="281">
        <f ca="1">IFERROR(T14*((VLOOKUP(T6,'Hilfstabelle 1'!$A$4:$T$65,14,FALSE)-('2) Obst-Erntemengenerhebung'!T12/T13))),0)</f>
        <v>0</v>
      </c>
      <c r="U15" s="281">
        <f ca="1">IFERROR(U14*((VLOOKUP(U6,'Hilfstabelle 1'!$A$4:$T$65,14,FALSE)-('2) Obst-Erntemengenerhebung'!U12/U13))),0)</f>
        <v>0</v>
      </c>
      <c r="V15" s="281">
        <f ca="1">IFERROR(V14*((VLOOKUP(V6,'Hilfstabelle 1'!$A$4:$T$65,14,FALSE)-('2) Obst-Erntemengenerhebung'!V12/V13))),0)</f>
        <v>0</v>
      </c>
      <c r="W15" s="281">
        <f ca="1">IFERROR(W14*((VLOOKUP(W6,'Hilfstabelle 1'!$A$4:$T$65,14,FALSE)-('2) Obst-Erntemengenerhebung'!W12/W13))),0)</f>
        <v>0</v>
      </c>
      <c r="X15" s="281">
        <f ca="1">IFERROR(X14*((VLOOKUP(X6,'Hilfstabelle 1'!$A$4:$T$65,14,FALSE)-('2) Obst-Erntemengenerhebung'!X12/X13))),0)</f>
        <v>0</v>
      </c>
      <c r="Y15" s="281">
        <f ca="1">IFERROR(Y14*((VLOOKUP(Y6,'Hilfstabelle 1'!$A$4:$T$65,14,FALSE)-('2) Obst-Erntemengenerhebung'!Y12/Y13))),0)</f>
        <v>0</v>
      </c>
      <c r="Z15" s="281">
        <f ca="1">IFERROR(Z14*((VLOOKUP(Z6,'Hilfstabelle 1'!$A$4:$T$65,14,FALSE)-('2) Obst-Erntemengenerhebung'!Z12/Z13))),0)</f>
        <v>0</v>
      </c>
      <c r="AA15" s="281">
        <f ca="1">IFERROR(AA14*((VLOOKUP(AA6,'Hilfstabelle 1'!$A$4:$T$65,14,FALSE)-('2) Obst-Erntemengenerhebung'!AA12/AA13))),0)</f>
        <v>0</v>
      </c>
    </row>
    <row r="16" spans="1:27" ht="17.25" customHeight="1" x14ac:dyDescent="0.25">
      <c r="A16" s="415" t="s">
        <v>93</v>
      </c>
      <c r="B16" s="416"/>
      <c r="C16" s="290" t="str">
        <f t="shared" ref="C16:AA16" ca="1" si="1">IFERROR((C12/C13)*C18,"0,00")</f>
        <v>0,00</v>
      </c>
      <c r="D16" s="290" t="str">
        <f t="shared" ca="1" si="1"/>
        <v>0,00</v>
      </c>
      <c r="E16" s="290" t="str">
        <f t="shared" ca="1" si="1"/>
        <v>0,00</v>
      </c>
      <c r="F16" s="290" t="str">
        <f t="shared" ca="1" si="1"/>
        <v>0,00</v>
      </c>
      <c r="G16" s="290" t="str">
        <f t="shared" ca="1" si="1"/>
        <v>0,00</v>
      </c>
      <c r="H16" s="290" t="str">
        <f t="shared" ca="1" si="1"/>
        <v>0,00</v>
      </c>
      <c r="I16" s="290" t="str">
        <f t="shared" ca="1" si="1"/>
        <v>0,00</v>
      </c>
      <c r="J16" s="290" t="str">
        <f t="shared" ca="1" si="1"/>
        <v>0,00</v>
      </c>
      <c r="K16" s="290" t="str">
        <f t="shared" ca="1" si="1"/>
        <v>0,00</v>
      </c>
      <c r="L16" s="290" t="str">
        <f t="shared" ca="1" si="1"/>
        <v>0,00</v>
      </c>
      <c r="M16" s="290" t="str">
        <f t="shared" ca="1" si="1"/>
        <v>0,00</v>
      </c>
      <c r="N16" s="290" t="str">
        <f t="shared" ca="1" si="1"/>
        <v>0,00</v>
      </c>
      <c r="O16" s="290" t="str">
        <f t="shared" ca="1" si="1"/>
        <v>0,00</v>
      </c>
      <c r="P16" s="290" t="str">
        <f t="shared" ca="1" si="1"/>
        <v>0,00</v>
      </c>
      <c r="Q16" s="290" t="str">
        <f t="shared" ca="1" si="1"/>
        <v>0,00</v>
      </c>
      <c r="R16" s="290" t="str">
        <f t="shared" ca="1" si="1"/>
        <v>0,00</v>
      </c>
      <c r="S16" s="290" t="str">
        <f t="shared" ca="1" si="1"/>
        <v>0,00</v>
      </c>
      <c r="T16" s="290" t="str">
        <f t="shared" ca="1" si="1"/>
        <v>0,00</v>
      </c>
      <c r="U16" s="290" t="str">
        <f t="shared" ca="1" si="1"/>
        <v>0,00</v>
      </c>
      <c r="V16" s="290" t="str">
        <f t="shared" ca="1" si="1"/>
        <v>0,00</v>
      </c>
      <c r="W16" s="290" t="str">
        <f t="shared" ca="1" si="1"/>
        <v>0,00</v>
      </c>
      <c r="X16" s="290" t="str">
        <f t="shared" ca="1" si="1"/>
        <v>0,00</v>
      </c>
      <c r="Y16" s="290" t="str">
        <f t="shared" ca="1" si="1"/>
        <v>0,00</v>
      </c>
      <c r="Z16" s="290" t="str">
        <f t="shared" ca="1" si="1"/>
        <v>0,00</v>
      </c>
      <c r="AA16" s="290" t="str">
        <f t="shared" ca="1" si="1"/>
        <v>0,00</v>
      </c>
    </row>
    <row r="17" spans="1:30" ht="15" hidden="1" customHeight="1" x14ac:dyDescent="0.25">
      <c r="A17" s="417" t="s">
        <v>241</v>
      </c>
      <c r="B17" s="418"/>
      <c r="C17" s="288" t="str">
        <f>IF(C6="","---",VLOOKUP(C6,'Hilfstabelle 1'!$A$4:$T$65,20,FALSE))</f>
        <v>---</v>
      </c>
      <c r="D17" s="288" t="str">
        <f>IF(D6="","---",VLOOKUP(D6,'Hilfstabelle 1'!$A$4:$T$65,20,FALSE))</f>
        <v>---</v>
      </c>
      <c r="E17" s="288" t="str">
        <f>IF(E6="","---",VLOOKUP(E6,'Hilfstabelle 1'!$A$4:$T$65,20,FALSE))</f>
        <v>---</v>
      </c>
      <c r="F17" s="288" t="str">
        <f>IF(F6="","---",VLOOKUP(F6,'Hilfstabelle 1'!$A$4:$T$65,20,FALSE))</f>
        <v>---</v>
      </c>
      <c r="G17" s="288" t="str">
        <f>IF(G6="","---",VLOOKUP(G6,'Hilfstabelle 1'!$A$4:$T$65,20,FALSE))</f>
        <v>---</v>
      </c>
      <c r="H17" s="288" t="str">
        <f>IF(H6="","---",VLOOKUP(H6,'Hilfstabelle 1'!$A$4:$T$65,20,FALSE))</f>
        <v>---</v>
      </c>
      <c r="I17" s="288" t="str">
        <f>IF(I6="","---",VLOOKUP(I6,'Hilfstabelle 1'!$A$4:$T$65,20,FALSE))</f>
        <v>---</v>
      </c>
      <c r="J17" s="288" t="str">
        <f>IF(J6="","---",VLOOKUP(J6,'Hilfstabelle 1'!$A$4:$T$65,20,FALSE))</f>
        <v>---</v>
      </c>
      <c r="K17" s="288" t="str">
        <f>IF(K6="","---",VLOOKUP(K6,'Hilfstabelle 1'!$A$4:$T$65,20,FALSE))</f>
        <v>---</v>
      </c>
      <c r="L17" s="288" t="str">
        <f>IF(L6="","---",VLOOKUP(L6,'Hilfstabelle 1'!$A$4:$T$65,20,FALSE))</f>
        <v>---</v>
      </c>
      <c r="M17" s="288" t="str">
        <f>IF(M6="","---",VLOOKUP(M6,'Hilfstabelle 1'!$A$4:$T$65,20,FALSE))</f>
        <v>---</v>
      </c>
      <c r="N17" s="288" t="str">
        <f>IF(N6="","---",VLOOKUP(N6,'Hilfstabelle 1'!$A$4:$T$65,20,FALSE))</f>
        <v>---</v>
      </c>
      <c r="O17" s="288" t="str">
        <f>IF(O6="","---",VLOOKUP(O6,'Hilfstabelle 1'!$A$4:$T$65,20,FALSE))</f>
        <v>---</v>
      </c>
      <c r="P17" s="288" t="str">
        <f>IF(P6="","---",VLOOKUP(P6,'Hilfstabelle 1'!$A$4:$T$65,20,FALSE))</f>
        <v>---</v>
      </c>
      <c r="Q17" s="288" t="str">
        <f>IF(Q6="","---",VLOOKUP(Q6,'Hilfstabelle 1'!$A$4:$T$65,20,FALSE))</f>
        <v>---</v>
      </c>
      <c r="R17" s="288" t="str">
        <f>IF(R6="","---",VLOOKUP(R6,'Hilfstabelle 1'!$A$4:$T$65,20,FALSE))</f>
        <v>---</v>
      </c>
      <c r="S17" s="288" t="str">
        <f>IF(S6="","---",VLOOKUP(S6,'Hilfstabelle 1'!$A$4:$T$65,20,FALSE))</f>
        <v>---</v>
      </c>
      <c r="T17" s="288" t="str">
        <f>IF(T6="","---",VLOOKUP(T6,'Hilfstabelle 1'!$A$4:$T$65,20,FALSE))</f>
        <v>---</v>
      </c>
      <c r="U17" s="288" t="str">
        <f>IF(U6="","---",VLOOKUP(U6,'Hilfstabelle 1'!$A$4:$T$65,20,FALSE))</f>
        <v>---</v>
      </c>
      <c r="V17" s="288" t="str">
        <f>IF(V6="","---",VLOOKUP(V6,'Hilfstabelle 1'!$A$4:$T$65,20,FALSE))</f>
        <v>---</v>
      </c>
      <c r="W17" s="288" t="str">
        <f>IF(W6="","---",VLOOKUP(W6,'Hilfstabelle 1'!$A$4:$T$65,20,FALSE))</f>
        <v>---</v>
      </c>
      <c r="X17" s="288" t="str">
        <f>IF(X6="","---",VLOOKUP(X6,'Hilfstabelle 1'!$A$4:$T$65,20,FALSE))</f>
        <v>---</v>
      </c>
      <c r="Y17" s="288" t="str">
        <f>IF(Y6="","---",VLOOKUP(Y6,'Hilfstabelle 1'!$A$4:$T$65,20,FALSE))</f>
        <v>---</v>
      </c>
      <c r="Z17" s="288" t="str">
        <f>IF(Z6="","---",VLOOKUP(Z6,'Hilfstabelle 1'!$A$4:$T$65,20,FALSE))</f>
        <v>---</v>
      </c>
      <c r="AA17" s="288" t="str">
        <f>IF(AA6="","---",VLOOKUP(AA6,'Hilfstabelle 1'!$A$4:$T$65,20,FALSE))</f>
        <v>---</v>
      </c>
      <c r="AB17" s="271"/>
    </row>
    <row r="18" spans="1:30" ht="17.25" customHeight="1" x14ac:dyDescent="0.25">
      <c r="A18" s="415" t="s">
        <v>252</v>
      </c>
      <c r="B18" s="416"/>
      <c r="C18" s="289" t="str">
        <f>IF(C6="","---",VLOOKUP(C6,'Hilfstabelle 1'!$A$4:$T$65,7,FALSE))</f>
        <v>---</v>
      </c>
      <c r="D18" s="289" t="str">
        <f>IF(D6="","---",VLOOKUP(D6,'Hilfstabelle 1'!$A$4:$T$65,7,FALSE))</f>
        <v>---</v>
      </c>
      <c r="E18" s="289" t="str">
        <f>IF(E6="","---",VLOOKUP(E6,'Hilfstabelle 1'!$A$4:$T$65,7,FALSE))</f>
        <v>---</v>
      </c>
      <c r="F18" s="289" t="str">
        <f>IF(F6="","---",VLOOKUP(F6,'Hilfstabelle 1'!$A$4:$T$65,7,FALSE))</f>
        <v>---</v>
      </c>
      <c r="G18" s="289" t="str">
        <f>IF(G6="","---",VLOOKUP(G6,'Hilfstabelle 1'!$A$4:$T$65,7,FALSE))</f>
        <v>---</v>
      </c>
      <c r="H18" s="289" t="str">
        <f>IF(H6="","---",VLOOKUP(H6,'Hilfstabelle 1'!$A$4:$T$65,7,FALSE))</f>
        <v>---</v>
      </c>
      <c r="I18" s="289" t="str">
        <f>IF(I6="","---",VLOOKUP(I6,'Hilfstabelle 1'!$A$4:$T$65,7,FALSE))</f>
        <v>---</v>
      </c>
      <c r="J18" s="289" t="str">
        <f>IF(J6="","---",VLOOKUP(J6,'Hilfstabelle 1'!$A$4:$T$65,7,FALSE))</f>
        <v>---</v>
      </c>
      <c r="K18" s="289" t="str">
        <f>IF(K6="","---",VLOOKUP(K6,'Hilfstabelle 1'!$A$4:$T$65,7,FALSE))</f>
        <v>---</v>
      </c>
      <c r="L18" s="289" t="str">
        <f>IF(L6="","---",VLOOKUP(L6,'Hilfstabelle 1'!$A$4:$T$65,7,FALSE))</f>
        <v>---</v>
      </c>
      <c r="M18" s="289" t="str">
        <f>IF(M6="","---",VLOOKUP(M6,'Hilfstabelle 1'!$A$4:$T$65,7,FALSE))</f>
        <v>---</v>
      </c>
      <c r="N18" s="289" t="str">
        <f>IF(N6="","---",VLOOKUP(N6,'Hilfstabelle 1'!$A$4:$T$65,7,FALSE))</f>
        <v>---</v>
      </c>
      <c r="O18" s="289" t="str">
        <f>IF(O6="","---",VLOOKUP(O6,'Hilfstabelle 1'!$A$4:$T$65,7,FALSE))</f>
        <v>---</v>
      </c>
      <c r="P18" s="289" t="str">
        <f>IF(P6="","---",VLOOKUP(P6,'Hilfstabelle 1'!$A$4:$T$65,7,FALSE))</f>
        <v>---</v>
      </c>
      <c r="Q18" s="289" t="str">
        <f>IF(Q6="","---",VLOOKUP(Q6,'Hilfstabelle 1'!$A$4:$T$65,7,FALSE))</f>
        <v>---</v>
      </c>
      <c r="R18" s="289" t="str">
        <f>IF(R6="","---",VLOOKUP(R6,'Hilfstabelle 1'!$A$4:$T$65,7,FALSE))</f>
        <v>---</v>
      </c>
      <c r="S18" s="289" t="str">
        <f>IF(S6="","---",VLOOKUP(S6,'Hilfstabelle 1'!$A$4:$T$65,7,FALSE))</f>
        <v>---</v>
      </c>
      <c r="T18" s="289" t="str">
        <f>IF(T6="","---",VLOOKUP(T6,'Hilfstabelle 1'!$A$4:$T$65,7,FALSE))</f>
        <v>---</v>
      </c>
      <c r="U18" s="289" t="str">
        <f>IF(U6="","---",VLOOKUP(U6,'Hilfstabelle 1'!$A$4:$T$65,7,FALSE))</f>
        <v>---</v>
      </c>
      <c r="V18" s="289" t="str">
        <f>IF(V6="","---",VLOOKUP(V6,'Hilfstabelle 1'!$A$4:$T$65,7,FALSE))</f>
        <v>---</v>
      </c>
      <c r="W18" s="289" t="str">
        <f>IF(W6="","---",VLOOKUP(W6,'Hilfstabelle 1'!$A$4:$T$65,7,FALSE))</f>
        <v>---</v>
      </c>
      <c r="X18" s="289" t="str">
        <f>IF(X6="","---",VLOOKUP(X6,'Hilfstabelle 1'!$A$4:$T$65,7,FALSE))</f>
        <v>---</v>
      </c>
      <c r="Y18" s="289" t="str">
        <f>IF(Y6="","---",VLOOKUP(Y6,'Hilfstabelle 1'!$A$4:$T$65,7,FALSE))</f>
        <v>---</v>
      </c>
      <c r="Z18" s="289" t="str">
        <f>IF(Z6="","---",VLOOKUP(Z6,'Hilfstabelle 1'!$A$4:$T$65,7,FALSE))</f>
        <v>---</v>
      </c>
      <c r="AA18" s="290" t="str">
        <f>IF(AA6="","---",VLOOKUP(AA6,'Hilfstabelle 1'!$A$4:$T$65,7,FALSE))</f>
        <v>---</v>
      </c>
      <c r="AB18" s="271"/>
    </row>
    <row r="19" spans="1:30" ht="15" customHeight="1" thickBot="1" x14ac:dyDescent="0.3">
      <c r="A19" s="419" t="s">
        <v>246</v>
      </c>
      <c r="B19" s="420"/>
      <c r="C19" s="274" t="str">
        <f t="shared" ref="C19:AA19" si="2">IF(C6="","0,00",(C17-C16)*C13-C15*C13)</f>
        <v>0,00</v>
      </c>
      <c r="D19" s="275" t="str">
        <f t="shared" si="2"/>
        <v>0,00</v>
      </c>
      <c r="E19" s="275" t="str">
        <f t="shared" si="2"/>
        <v>0,00</v>
      </c>
      <c r="F19" s="275" t="str">
        <f t="shared" si="2"/>
        <v>0,00</v>
      </c>
      <c r="G19" s="275" t="str">
        <f t="shared" si="2"/>
        <v>0,00</v>
      </c>
      <c r="H19" s="275" t="str">
        <f t="shared" si="2"/>
        <v>0,00</v>
      </c>
      <c r="I19" s="275" t="str">
        <f t="shared" si="2"/>
        <v>0,00</v>
      </c>
      <c r="J19" s="275" t="str">
        <f t="shared" si="2"/>
        <v>0,00</v>
      </c>
      <c r="K19" s="275" t="str">
        <f t="shared" si="2"/>
        <v>0,00</v>
      </c>
      <c r="L19" s="275" t="str">
        <f t="shared" si="2"/>
        <v>0,00</v>
      </c>
      <c r="M19" s="275" t="str">
        <f t="shared" si="2"/>
        <v>0,00</v>
      </c>
      <c r="N19" s="275" t="str">
        <f t="shared" si="2"/>
        <v>0,00</v>
      </c>
      <c r="O19" s="275" t="str">
        <f t="shared" si="2"/>
        <v>0,00</v>
      </c>
      <c r="P19" s="275" t="str">
        <f t="shared" si="2"/>
        <v>0,00</v>
      </c>
      <c r="Q19" s="275" t="str">
        <f t="shared" si="2"/>
        <v>0,00</v>
      </c>
      <c r="R19" s="275" t="str">
        <f t="shared" si="2"/>
        <v>0,00</v>
      </c>
      <c r="S19" s="275" t="str">
        <f t="shared" si="2"/>
        <v>0,00</v>
      </c>
      <c r="T19" s="275" t="str">
        <f t="shared" si="2"/>
        <v>0,00</v>
      </c>
      <c r="U19" s="275" t="str">
        <f t="shared" si="2"/>
        <v>0,00</v>
      </c>
      <c r="V19" s="275" t="str">
        <f t="shared" si="2"/>
        <v>0,00</v>
      </c>
      <c r="W19" s="275" t="str">
        <f t="shared" si="2"/>
        <v>0,00</v>
      </c>
      <c r="X19" s="275" t="str">
        <f t="shared" si="2"/>
        <v>0,00</v>
      </c>
      <c r="Y19" s="275" t="str">
        <f t="shared" si="2"/>
        <v>0,00</v>
      </c>
      <c r="Z19" s="275" t="str">
        <f t="shared" si="2"/>
        <v>0,00</v>
      </c>
      <c r="AA19" s="275" t="str">
        <f t="shared" si="2"/>
        <v>0,00</v>
      </c>
      <c r="AB19" s="276">
        <f t="shared" ref="AB19:AB25" si="3">SUM(C19:AA19)</f>
        <v>0</v>
      </c>
    </row>
    <row r="20" spans="1:30" ht="14.25" customHeight="1" x14ac:dyDescent="0.25">
      <c r="A20" s="430" t="s">
        <v>245</v>
      </c>
      <c r="B20" s="431"/>
      <c r="C20" s="277">
        <f t="shared" ref="C20:AA20" ca="1" si="4">IFERROR(C16*C13,"---")</f>
        <v>0</v>
      </c>
      <c r="D20" s="278">
        <f t="shared" ca="1" si="4"/>
        <v>0</v>
      </c>
      <c r="E20" s="278">
        <f t="shared" ca="1" si="4"/>
        <v>0</v>
      </c>
      <c r="F20" s="278">
        <f t="shared" ca="1" si="4"/>
        <v>0</v>
      </c>
      <c r="G20" s="278">
        <f t="shared" ca="1" si="4"/>
        <v>0</v>
      </c>
      <c r="H20" s="278">
        <f t="shared" ca="1" si="4"/>
        <v>0</v>
      </c>
      <c r="I20" s="278">
        <f t="shared" ca="1" si="4"/>
        <v>0</v>
      </c>
      <c r="J20" s="278">
        <f t="shared" ca="1" si="4"/>
        <v>0</v>
      </c>
      <c r="K20" s="278">
        <f t="shared" ca="1" si="4"/>
        <v>0</v>
      </c>
      <c r="L20" s="278">
        <f t="shared" ca="1" si="4"/>
        <v>0</v>
      </c>
      <c r="M20" s="278">
        <f t="shared" ca="1" si="4"/>
        <v>0</v>
      </c>
      <c r="N20" s="278">
        <f t="shared" ca="1" si="4"/>
        <v>0</v>
      </c>
      <c r="O20" s="278">
        <f t="shared" ca="1" si="4"/>
        <v>0</v>
      </c>
      <c r="P20" s="278">
        <f t="shared" ca="1" si="4"/>
        <v>0</v>
      </c>
      <c r="Q20" s="278">
        <f t="shared" ca="1" si="4"/>
        <v>0</v>
      </c>
      <c r="R20" s="278">
        <f t="shared" ca="1" si="4"/>
        <v>0</v>
      </c>
      <c r="S20" s="278">
        <f t="shared" ca="1" si="4"/>
        <v>0</v>
      </c>
      <c r="T20" s="278">
        <f t="shared" ca="1" si="4"/>
        <v>0</v>
      </c>
      <c r="U20" s="278">
        <f t="shared" ca="1" si="4"/>
        <v>0</v>
      </c>
      <c r="V20" s="278">
        <f t="shared" ca="1" si="4"/>
        <v>0</v>
      </c>
      <c r="W20" s="278">
        <f t="shared" ca="1" si="4"/>
        <v>0</v>
      </c>
      <c r="X20" s="278">
        <f t="shared" ca="1" si="4"/>
        <v>0</v>
      </c>
      <c r="Y20" s="278">
        <f t="shared" ca="1" si="4"/>
        <v>0</v>
      </c>
      <c r="Z20" s="278">
        <f t="shared" ca="1" si="4"/>
        <v>0</v>
      </c>
      <c r="AA20" s="278">
        <f t="shared" ca="1" si="4"/>
        <v>0</v>
      </c>
      <c r="AB20" s="279">
        <f t="shared" ca="1" si="3"/>
        <v>0</v>
      </c>
      <c r="AD20" s="2" t="s">
        <v>250</v>
      </c>
    </row>
    <row r="21" spans="1:30" ht="15" hidden="1" customHeight="1" x14ac:dyDescent="0.25">
      <c r="A21" s="424" t="s">
        <v>95</v>
      </c>
      <c r="B21" s="425"/>
      <c r="C21" s="272" t="str">
        <f>IFERROR((VLOOKUP(C$6,'Hilfstabelle 1'!$A$4:$T$65,19,FALSE)*'2) Obst-Erntemengenerhebung'!C7),"0,00")</f>
        <v>0,00</v>
      </c>
      <c r="D21" s="273" t="str">
        <f>IFERROR((VLOOKUP(D$6,'Hilfstabelle 1'!$A$4:$T$65,19,FALSE)*'2) Obst-Erntemengenerhebung'!D7),"0,00")</f>
        <v>0,00</v>
      </c>
      <c r="E21" s="273" t="str">
        <f>IFERROR((VLOOKUP(E$6,'Hilfstabelle 1'!$A$4:$T$65,19,FALSE)*'2) Obst-Erntemengenerhebung'!E7),"0,00")</f>
        <v>0,00</v>
      </c>
      <c r="F21" s="273" t="str">
        <f>IFERROR((VLOOKUP(F$6,'Hilfstabelle 1'!$A$4:$T$65,19,FALSE)*'2) Obst-Erntemengenerhebung'!F7),"0,00")</f>
        <v>0,00</v>
      </c>
      <c r="G21" s="273" t="str">
        <f>IFERROR((VLOOKUP(G$6,'Hilfstabelle 1'!$A$4:$T$65,19,FALSE)*'2) Obst-Erntemengenerhebung'!G7),"0,00")</f>
        <v>0,00</v>
      </c>
      <c r="H21" s="273" t="str">
        <f>IFERROR((VLOOKUP(H$6,'Hilfstabelle 1'!$A$4:$T$65,19,FALSE)*'2) Obst-Erntemengenerhebung'!H7),"0,00")</f>
        <v>0,00</v>
      </c>
      <c r="I21" s="273" t="str">
        <f>IFERROR((VLOOKUP(I$6,'Hilfstabelle 1'!$A$4:$T$65,19,FALSE)*'2) Obst-Erntemengenerhebung'!I7),"0,00")</f>
        <v>0,00</v>
      </c>
      <c r="J21" s="273" t="str">
        <f>IFERROR((VLOOKUP(J$6,'Hilfstabelle 1'!$A$4:$T$65,19,FALSE)*'2) Obst-Erntemengenerhebung'!J7),"0,00")</f>
        <v>0,00</v>
      </c>
      <c r="K21" s="273" t="str">
        <f>IFERROR((VLOOKUP(K$6,'Hilfstabelle 1'!$A$4:$T$65,19,FALSE)*'2) Obst-Erntemengenerhebung'!K7),"0,00")</f>
        <v>0,00</v>
      </c>
      <c r="L21" s="273" t="str">
        <f>IFERROR((VLOOKUP(L$6,'Hilfstabelle 1'!$A$4:$T$65,19,FALSE)*'2) Obst-Erntemengenerhebung'!L7),"0,00")</f>
        <v>0,00</v>
      </c>
      <c r="M21" s="273" t="str">
        <f>IFERROR((VLOOKUP(M$6,'Hilfstabelle 1'!$A$4:$T$65,19,FALSE)*'2) Obst-Erntemengenerhebung'!M7),"0,00")</f>
        <v>0,00</v>
      </c>
      <c r="N21" s="273" t="str">
        <f>IFERROR((VLOOKUP(N$6,'Hilfstabelle 1'!$A$4:$T$65,19,FALSE)*'2) Obst-Erntemengenerhebung'!N7),"0,00")</f>
        <v>0,00</v>
      </c>
      <c r="O21" s="273" t="str">
        <f>IFERROR((VLOOKUP(O$6,'Hilfstabelle 1'!$A$4:$T$65,19,FALSE)*'2) Obst-Erntemengenerhebung'!O7),"0,00")</f>
        <v>0,00</v>
      </c>
      <c r="P21" s="273" t="str">
        <f>IFERROR((VLOOKUP(P$6,'Hilfstabelle 1'!$A$4:$T$65,19,FALSE)*'2) Obst-Erntemengenerhebung'!P7),"0,00")</f>
        <v>0,00</v>
      </c>
      <c r="Q21" s="273" t="str">
        <f>IFERROR((VLOOKUP(Q$6,'Hilfstabelle 1'!$A$4:$T$65,19,FALSE)*'2) Obst-Erntemengenerhebung'!Q7),"0,00")</f>
        <v>0,00</v>
      </c>
      <c r="R21" s="273" t="str">
        <f>IFERROR((VLOOKUP(R$6,'Hilfstabelle 1'!$A$4:$T$65,19,FALSE)*'2) Obst-Erntemengenerhebung'!R7),"0,00")</f>
        <v>0,00</v>
      </c>
      <c r="S21" s="273" t="str">
        <f>IFERROR((VLOOKUP(S$6,'Hilfstabelle 1'!$A$4:$T$65,19,FALSE)*'2) Obst-Erntemengenerhebung'!S7),"0,00")</f>
        <v>0,00</v>
      </c>
      <c r="T21" s="273" t="str">
        <f>IFERROR((VLOOKUP(T$6,'Hilfstabelle 1'!$A$4:$T$65,19,FALSE)*'2) Obst-Erntemengenerhebung'!T7),"0,00")</f>
        <v>0,00</v>
      </c>
      <c r="U21" s="273" t="str">
        <f>IFERROR((VLOOKUP(U$6,'Hilfstabelle 1'!$A$4:$T$65,19,FALSE)*'2) Obst-Erntemengenerhebung'!U7),"0,00")</f>
        <v>0,00</v>
      </c>
      <c r="V21" s="273" t="str">
        <f>IFERROR((VLOOKUP(V$6,'Hilfstabelle 1'!$A$4:$T$65,19,FALSE)*'2) Obst-Erntemengenerhebung'!V7),"0,00")</f>
        <v>0,00</v>
      </c>
      <c r="W21" s="273" t="str">
        <f>IFERROR((VLOOKUP(W$6,'Hilfstabelle 1'!$A$4:$T$65,19,FALSE)*'2) Obst-Erntemengenerhebung'!W7),"0,00")</f>
        <v>0,00</v>
      </c>
      <c r="X21" s="273" t="str">
        <f>IFERROR((VLOOKUP(X$6,'Hilfstabelle 1'!$A$4:$T$65,19,FALSE)*'2) Obst-Erntemengenerhebung'!X7),"0,00")</f>
        <v>0,00</v>
      </c>
      <c r="Y21" s="273" t="str">
        <f>IFERROR((VLOOKUP(Y$6,'Hilfstabelle 1'!$A$4:$T$65,19,FALSE)*'2) Obst-Erntemengenerhebung'!Y7),"0,00")</f>
        <v>0,00</v>
      </c>
      <c r="Z21" s="273" t="str">
        <f>IFERROR((VLOOKUP(Z$6,'Hilfstabelle 1'!$A$4:$T$65,19,FALSE)*'2) Obst-Erntemengenerhebung'!Z7),"0,00")</f>
        <v>0,00</v>
      </c>
      <c r="AA21" s="273" t="str">
        <f>IFERROR((VLOOKUP(AA$6,'Hilfstabelle 1'!$A$4:$T$65,19,FALSE)*'2) Obst-Erntemengenerhebung'!AA7),"0,00")</f>
        <v>0,00</v>
      </c>
      <c r="AB21" s="280">
        <f t="shared" si="3"/>
        <v>0</v>
      </c>
      <c r="AD21" s="2" t="str">
        <f>IF(AB21&gt;0,AB21,"---")</f>
        <v>---</v>
      </c>
    </row>
    <row r="22" spans="1:30" ht="15" hidden="1" customHeight="1" x14ac:dyDescent="0.25">
      <c r="A22" s="424" t="s">
        <v>96</v>
      </c>
      <c r="B22" s="425"/>
      <c r="C22" s="272" t="str">
        <f>IFERROR((VLOOKUP(C$6,'Hilfstabelle 1'!$A$4:$T$65,18,FALSE)*'2) Obst-Erntemengenerhebung'!C8),"0,00")</f>
        <v>0,00</v>
      </c>
      <c r="D22" s="273" t="str">
        <f>IFERROR((VLOOKUP(D$6,'Hilfstabelle 1'!$A$4:$T$65,18,FALSE)*'2) Obst-Erntemengenerhebung'!D8),"0,00")</f>
        <v>0,00</v>
      </c>
      <c r="E22" s="273" t="str">
        <f>IFERROR((VLOOKUP(E$6,'Hilfstabelle 1'!$A$4:$T$65,18,FALSE)*'2) Obst-Erntemengenerhebung'!E8),"0,00")</f>
        <v>0,00</v>
      </c>
      <c r="F22" s="273" t="str">
        <f>IFERROR((VLOOKUP(F$6,'Hilfstabelle 1'!$A$4:$T$65,18,FALSE)*'2) Obst-Erntemengenerhebung'!F8),"0,00")</f>
        <v>0,00</v>
      </c>
      <c r="G22" s="273" t="str">
        <f>IFERROR((VLOOKUP(G$6,'Hilfstabelle 1'!$A$4:$T$65,18,FALSE)*'2) Obst-Erntemengenerhebung'!G8),"0,00")</f>
        <v>0,00</v>
      </c>
      <c r="H22" s="273" t="str">
        <f>IFERROR((VLOOKUP(H$6,'Hilfstabelle 1'!$A$4:$T$65,18,FALSE)*'2) Obst-Erntemengenerhebung'!H8),"0,00")</f>
        <v>0,00</v>
      </c>
      <c r="I22" s="273" t="str">
        <f>IFERROR((VLOOKUP(I$6,'Hilfstabelle 1'!$A$4:$T$65,18,FALSE)*'2) Obst-Erntemengenerhebung'!I8),"0,00")</f>
        <v>0,00</v>
      </c>
      <c r="J22" s="273" t="str">
        <f>IFERROR((VLOOKUP(J$6,'Hilfstabelle 1'!$A$4:$T$65,18,FALSE)*'2) Obst-Erntemengenerhebung'!J8),"0,00")</f>
        <v>0,00</v>
      </c>
      <c r="K22" s="273" t="str">
        <f>IFERROR((VLOOKUP(K$6,'Hilfstabelle 1'!$A$4:$T$65,18,FALSE)*'2) Obst-Erntemengenerhebung'!K8),"0,00")</f>
        <v>0,00</v>
      </c>
      <c r="L22" s="273" t="str">
        <f>IFERROR((VLOOKUP(L$6,'Hilfstabelle 1'!$A$4:$T$65,18,FALSE)*'2) Obst-Erntemengenerhebung'!L8),"0,00")</f>
        <v>0,00</v>
      </c>
      <c r="M22" s="273" t="str">
        <f>IFERROR((VLOOKUP(M$6,'Hilfstabelle 1'!$A$4:$T$65,18,FALSE)*'2) Obst-Erntemengenerhebung'!M8),"0,00")</f>
        <v>0,00</v>
      </c>
      <c r="N22" s="273" t="str">
        <f>IFERROR((VLOOKUP(N$6,'Hilfstabelle 1'!$A$4:$T$65,18,FALSE)*'2) Obst-Erntemengenerhebung'!N8),"0,00")</f>
        <v>0,00</v>
      </c>
      <c r="O22" s="273" t="str">
        <f>IFERROR((VLOOKUP(O$6,'Hilfstabelle 1'!$A$4:$T$65,18,FALSE)*'2) Obst-Erntemengenerhebung'!O8),"0,00")</f>
        <v>0,00</v>
      </c>
      <c r="P22" s="273" t="str">
        <f>IFERROR((VLOOKUP(P$6,'Hilfstabelle 1'!$A$4:$T$65,18,FALSE)*'2) Obst-Erntemengenerhebung'!P8),"0,00")</f>
        <v>0,00</v>
      </c>
      <c r="Q22" s="273" t="str">
        <f>IFERROR((VLOOKUP(Q$6,'Hilfstabelle 1'!$A$4:$T$65,18,FALSE)*'2) Obst-Erntemengenerhebung'!Q8),"0,00")</f>
        <v>0,00</v>
      </c>
      <c r="R22" s="273" t="str">
        <f>IFERROR((VLOOKUP(R$6,'Hilfstabelle 1'!$A$4:$T$65,18,FALSE)*'2) Obst-Erntemengenerhebung'!R8),"0,00")</f>
        <v>0,00</v>
      </c>
      <c r="S22" s="273" t="str">
        <f>IFERROR((VLOOKUP(S$6,'Hilfstabelle 1'!$A$4:$T$65,18,FALSE)*'2) Obst-Erntemengenerhebung'!S8),"0,00")</f>
        <v>0,00</v>
      </c>
      <c r="T22" s="273" t="str">
        <f>IFERROR((VLOOKUP(T$6,'Hilfstabelle 1'!$A$4:$T$65,18,FALSE)*'2) Obst-Erntemengenerhebung'!T8),"0,00")</f>
        <v>0,00</v>
      </c>
      <c r="U22" s="273" t="str">
        <f>IFERROR((VLOOKUP(U$6,'Hilfstabelle 1'!$A$4:$T$65,18,FALSE)*'2) Obst-Erntemengenerhebung'!U8),"0,00")</f>
        <v>0,00</v>
      </c>
      <c r="V22" s="273" t="str">
        <f>IFERROR((VLOOKUP(V$6,'Hilfstabelle 1'!$A$4:$T$65,18,FALSE)*'2) Obst-Erntemengenerhebung'!V8),"0,00")</f>
        <v>0,00</v>
      </c>
      <c r="W22" s="273" t="str">
        <f>IFERROR((VLOOKUP(W$6,'Hilfstabelle 1'!$A$4:$T$65,18,FALSE)*'2) Obst-Erntemengenerhebung'!W8),"0,00")</f>
        <v>0,00</v>
      </c>
      <c r="X22" s="273" t="str">
        <f>IFERROR((VLOOKUP(X$6,'Hilfstabelle 1'!$A$4:$T$65,18,FALSE)*'2) Obst-Erntemengenerhebung'!X8),"0,00")</f>
        <v>0,00</v>
      </c>
      <c r="Y22" s="273" t="str">
        <f>IFERROR((VLOOKUP(Y$6,'Hilfstabelle 1'!$A$4:$T$65,18,FALSE)*'2) Obst-Erntemengenerhebung'!Y8),"0,00")</f>
        <v>0,00</v>
      </c>
      <c r="Z22" s="273" t="str">
        <f>IFERROR((VLOOKUP(Z$6,'Hilfstabelle 1'!$A$4:$T$65,18,FALSE)*'2) Obst-Erntemengenerhebung'!Z8),"0,00")</f>
        <v>0,00</v>
      </c>
      <c r="AA22" s="273" t="str">
        <f>IFERROR((VLOOKUP(AA$6,'Hilfstabelle 1'!$A$4:$T$65,18,FALSE)*'2) Obst-Erntemengenerhebung'!AA8),"0,00")</f>
        <v>0,00</v>
      </c>
      <c r="AB22" s="280">
        <f t="shared" si="3"/>
        <v>0</v>
      </c>
      <c r="AD22" s="2" t="str">
        <f>IF(AB22&gt;0,AB22,"---")</f>
        <v>---</v>
      </c>
    </row>
    <row r="23" spans="1:30" ht="15" hidden="1" customHeight="1" x14ac:dyDescent="0.25">
      <c r="A23" s="424" t="s">
        <v>97</v>
      </c>
      <c r="B23" s="425"/>
      <c r="C23" s="272" t="str">
        <f>IFERROR((VLOOKUP(C$6,'Hilfstabelle 1'!$A$4:$T$65,17,FALSE)*'2) Obst-Erntemengenerhebung'!C9),"0,00")</f>
        <v>0,00</v>
      </c>
      <c r="D23" s="273" t="str">
        <f>IFERROR((VLOOKUP(D$6,'Hilfstabelle 1'!$A$4:$T$65,17,FALSE)*'2) Obst-Erntemengenerhebung'!D9),"0,00")</f>
        <v>0,00</v>
      </c>
      <c r="E23" s="273" t="str">
        <f>IFERROR((VLOOKUP(E$6,'Hilfstabelle 1'!$A$4:$T$65,17,FALSE)*'2) Obst-Erntemengenerhebung'!E9),"0,00")</f>
        <v>0,00</v>
      </c>
      <c r="F23" s="273" t="str">
        <f>IFERROR((VLOOKUP(F$6,'Hilfstabelle 1'!$A$4:$T$65,17,FALSE)*'2) Obst-Erntemengenerhebung'!F9),"0,00")</f>
        <v>0,00</v>
      </c>
      <c r="G23" s="273" t="str">
        <f>IFERROR((VLOOKUP(G$6,'Hilfstabelle 1'!$A$4:$T$65,17,FALSE)*'2) Obst-Erntemengenerhebung'!G9),"0,00")</f>
        <v>0,00</v>
      </c>
      <c r="H23" s="273" t="str">
        <f>IFERROR((VLOOKUP(H$6,'Hilfstabelle 1'!$A$4:$T$65,17,FALSE)*'2) Obst-Erntemengenerhebung'!H9),"0,00")</f>
        <v>0,00</v>
      </c>
      <c r="I23" s="273" t="str">
        <f>IFERROR((VLOOKUP(I$6,'Hilfstabelle 1'!$A$4:$T$65,17,FALSE)*'2) Obst-Erntemengenerhebung'!I9),"0,00")</f>
        <v>0,00</v>
      </c>
      <c r="J23" s="273" t="str">
        <f>IFERROR((VLOOKUP(J$6,'Hilfstabelle 1'!$A$4:$T$65,17,FALSE)*'2) Obst-Erntemengenerhebung'!J9),"0,00")</f>
        <v>0,00</v>
      </c>
      <c r="K23" s="273" t="str">
        <f>IFERROR((VLOOKUP(K$6,'Hilfstabelle 1'!$A$4:$T$65,17,FALSE)*'2) Obst-Erntemengenerhebung'!K9),"0,00")</f>
        <v>0,00</v>
      </c>
      <c r="L23" s="273" t="str">
        <f>IFERROR((VLOOKUP(L$6,'Hilfstabelle 1'!$A$4:$T$65,17,FALSE)*'2) Obst-Erntemengenerhebung'!L9),"0,00")</f>
        <v>0,00</v>
      </c>
      <c r="M23" s="273" t="str">
        <f>IFERROR((VLOOKUP(M$6,'Hilfstabelle 1'!$A$4:$T$65,17,FALSE)*'2) Obst-Erntemengenerhebung'!M9),"0,00")</f>
        <v>0,00</v>
      </c>
      <c r="N23" s="273" t="str">
        <f>IFERROR((VLOOKUP(N$6,'Hilfstabelle 1'!$A$4:$T$65,17,FALSE)*'2) Obst-Erntemengenerhebung'!N9),"0,00")</f>
        <v>0,00</v>
      </c>
      <c r="O23" s="273" t="str">
        <f>IFERROR((VLOOKUP(O$6,'Hilfstabelle 1'!$A$4:$T$65,17,FALSE)*'2) Obst-Erntemengenerhebung'!O9),"0,00")</f>
        <v>0,00</v>
      </c>
      <c r="P23" s="273" t="str">
        <f>IFERROR((VLOOKUP(P$6,'Hilfstabelle 1'!$A$4:$T$65,17,FALSE)*'2) Obst-Erntemengenerhebung'!P9),"0,00")</f>
        <v>0,00</v>
      </c>
      <c r="Q23" s="273" t="str">
        <f>IFERROR((VLOOKUP(Q$6,'Hilfstabelle 1'!$A$4:$T$65,17,FALSE)*'2) Obst-Erntemengenerhebung'!Q9),"0,00")</f>
        <v>0,00</v>
      </c>
      <c r="R23" s="273" t="str">
        <f>IFERROR((VLOOKUP(R$6,'Hilfstabelle 1'!$A$4:$T$65,17,FALSE)*'2) Obst-Erntemengenerhebung'!R9),"0,00")</f>
        <v>0,00</v>
      </c>
      <c r="S23" s="273" t="str">
        <f>IFERROR((VLOOKUP(S$6,'Hilfstabelle 1'!$A$4:$T$65,17,FALSE)*'2) Obst-Erntemengenerhebung'!S9),"0,00")</f>
        <v>0,00</v>
      </c>
      <c r="T23" s="273" t="str">
        <f>IFERROR((VLOOKUP(T$6,'Hilfstabelle 1'!$A$4:$T$65,17,FALSE)*'2) Obst-Erntemengenerhebung'!T9),"0,00")</f>
        <v>0,00</v>
      </c>
      <c r="U23" s="273" t="str">
        <f>IFERROR((VLOOKUP(U$6,'Hilfstabelle 1'!$A$4:$T$65,17,FALSE)*'2) Obst-Erntemengenerhebung'!U9),"0,00")</f>
        <v>0,00</v>
      </c>
      <c r="V23" s="273" t="str">
        <f>IFERROR((VLOOKUP(V$6,'Hilfstabelle 1'!$A$4:$T$65,17,FALSE)*'2) Obst-Erntemengenerhebung'!V9),"0,00")</f>
        <v>0,00</v>
      </c>
      <c r="W23" s="273" t="str">
        <f>IFERROR((VLOOKUP(W$6,'Hilfstabelle 1'!$A$4:$T$65,17,FALSE)*'2) Obst-Erntemengenerhebung'!W9),"0,00")</f>
        <v>0,00</v>
      </c>
      <c r="X23" s="273" t="str">
        <f>IFERROR((VLOOKUP(X$6,'Hilfstabelle 1'!$A$4:$T$65,17,FALSE)*'2) Obst-Erntemengenerhebung'!X9),"0,00")</f>
        <v>0,00</v>
      </c>
      <c r="Y23" s="273" t="str">
        <f>IFERROR((VLOOKUP(Y$6,'Hilfstabelle 1'!$A$4:$T$65,17,FALSE)*'2) Obst-Erntemengenerhebung'!Y9),"0,00")</f>
        <v>0,00</v>
      </c>
      <c r="Z23" s="273" t="str">
        <f>IFERROR((VLOOKUP(Z$6,'Hilfstabelle 1'!$A$4:$T$65,17,FALSE)*'2) Obst-Erntemengenerhebung'!Z9),"0,00")</f>
        <v>0,00</v>
      </c>
      <c r="AA23" s="273" t="str">
        <f>IFERROR((VLOOKUP(AA$6,'Hilfstabelle 1'!$A$4:$T$65,17,FALSE)*'2) Obst-Erntemengenerhebung'!AA9),"0,00")</f>
        <v>0,00</v>
      </c>
      <c r="AB23" s="280">
        <f t="shared" si="3"/>
        <v>0</v>
      </c>
      <c r="AD23" s="2" t="str">
        <f t="shared" ref="AD23:AD25" si="5">IF(AB23&gt;0,AB23,"---")</f>
        <v>---</v>
      </c>
    </row>
    <row r="24" spans="1:30" ht="15" hidden="1" customHeight="1" x14ac:dyDescent="0.25">
      <c r="A24" s="424" t="s">
        <v>244</v>
      </c>
      <c r="B24" s="425"/>
      <c r="C24" s="272" t="str">
        <f>IFERROR((VLOOKUP(C$6,'Hilfstabelle 1'!$A$4:$T$65,16,FALSE)*'2) Obst-Erntemengenerhebung'!C10),"0,00")</f>
        <v>0,00</v>
      </c>
      <c r="D24" s="273" t="str">
        <f>IFERROR((VLOOKUP(D$6,'Hilfstabelle 1'!$A$4:$T$65,16,FALSE)*'2) Obst-Erntemengenerhebung'!D10),"0,00")</f>
        <v>0,00</v>
      </c>
      <c r="E24" s="273" t="str">
        <f>IFERROR((VLOOKUP(E$6,'Hilfstabelle 1'!$A$4:$T$65,16,FALSE)*'2) Obst-Erntemengenerhebung'!E10),"0,00")</f>
        <v>0,00</v>
      </c>
      <c r="F24" s="273" t="str">
        <f>IFERROR((VLOOKUP(F$6,'Hilfstabelle 1'!$A$4:$T$65,16,FALSE)*'2) Obst-Erntemengenerhebung'!F10),"0,00")</f>
        <v>0,00</v>
      </c>
      <c r="G24" s="273" t="str">
        <f>IFERROR((VLOOKUP(G$6,'Hilfstabelle 1'!$A$4:$T$65,16,FALSE)*'2) Obst-Erntemengenerhebung'!G10),"0,00")</f>
        <v>0,00</v>
      </c>
      <c r="H24" s="273" t="str">
        <f>IFERROR((VLOOKUP(H$6,'Hilfstabelle 1'!$A$4:$T$65,16,FALSE)*'2) Obst-Erntemengenerhebung'!H10),"0,00")</f>
        <v>0,00</v>
      </c>
      <c r="I24" s="273" t="str">
        <f>IFERROR((VLOOKUP(I$6,'Hilfstabelle 1'!$A$4:$T$65,16,FALSE)*'2) Obst-Erntemengenerhebung'!I10),"0,00")</f>
        <v>0,00</v>
      </c>
      <c r="J24" s="273" t="str">
        <f>IFERROR((VLOOKUP(J$6,'Hilfstabelle 1'!$A$4:$T$65,16,FALSE)*'2) Obst-Erntemengenerhebung'!J10),"0,00")</f>
        <v>0,00</v>
      </c>
      <c r="K24" s="273" t="str">
        <f>IFERROR((VLOOKUP(K$6,'Hilfstabelle 1'!$A$4:$T$65,16,FALSE)*'2) Obst-Erntemengenerhebung'!K10),"0,00")</f>
        <v>0,00</v>
      </c>
      <c r="L24" s="273" t="str">
        <f>IFERROR((VLOOKUP(L$6,'Hilfstabelle 1'!$A$4:$T$65,16,FALSE)*'2) Obst-Erntemengenerhebung'!L10),"0,00")</f>
        <v>0,00</v>
      </c>
      <c r="M24" s="273" t="str">
        <f>IFERROR((VLOOKUP(M$6,'Hilfstabelle 1'!$A$4:$T$65,16,FALSE)*'2) Obst-Erntemengenerhebung'!M10),"0,00")</f>
        <v>0,00</v>
      </c>
      <c r="N24" s="273" t="str">
        <f>IFERROR((VLOOKUP(N$6,'Hilfstabelle 1'!$A$4:$T$65,16,FALSE)*'2) Obst-Erntemengenerhebung'!N10),"0,00")</f>
        <v>0,00</v>
      </c>
      <c r="O24" s="273" t="str">
        <f>IFERROR((VLOOKUP(O$6,'Hilfstabelle 1'!$A$4:$T$65,16,FALSE)*'2) Obst-Erntemengenerhebung'!O10),"0,00")</f>
        <v>0,00</v>
      </c>
      <c r="P24" s="273" t="str">
        <f>IFERROR((VLOOKUP(P$6,'Hilfstabelle 1'!$A$4:$T$65,16,FALSE)*'2) Obst-Erntemengenerhebung'!P10),"0,00")</f>
        <v>0,00</v>
      </c>
      <c r="Q24" s="273" t="str">
        <f>IFERROR((VLOOKUP(Q$6,'Hilfstabelle 1'!$A$4:$T$65,16,FALSE)*'2) Obst-Erntemengenerhebung'!Q10),"0,00")</f>
        <v>0,00</v>
      </c>
      <c r="R24" s="273" t="str">
        <f>IFERROR((VLOOKUP(R$6,'Hilfstabelle 1'!$A$4:$T$65,16,FALSE)*'2) Obst-Erntemengenerhebung'!R10),"0,00")</f>
        <v>0,00</v>
      </c>
      <c r="S24" s="273" t="str">
        <f>IFERROR((VLOOKUP(S$6,'Hilfstabelle 1'!$A$4:$T$65,16,FALSE)*'2) Obst-Erntemengenerhebung'!S10),"0,00")</f>
        <v>0,00</v>
      </c>
      <c r="T24" s="273" t="str">
        <f>IFERROR((VLOOKUP(T$6,'Hilfstabelle 1'!$A$4:$T$65,16,FALSE)*'2) Obst-Erntemengenerhebung'!T10),"0,00")</f>
        <v>0,00</v>
      </c>
      <c r="U24" s="273" t="str">
        <f>IFERROR((VLOOKUP(U$6,'Hilfstabelle 1'!$A$4:$T$65,16,FALSE)*'2) Obst-Erntemengenerhebung'!U10),"0,00")</f>
        <v>0,00</v>
      </c>
      <c r="V24" s="273" t="str">
        <f>IFERROR((VLOOKUP(V$6,'Hilfstabelle 1'!$A$4:$T$65,16,FALSE)*'2) Obst-Erntemengenerhebung'!V10),"0,00")</f>
        <v>0,00</v>
      </c>
      <c r="W24" s="273" t="str">
        <f>IFERROR((VLOOKUP(W$6,'Hilfstabelle 1'!$A$4:$T$65,16,FALSE)*'2) Obst-Erntemengenerhebung'!W10),"0,00")</f>
        <v>0,00</v>
      </c>
      <c r="X24" s="273" t="str">
        <f>IFERROR((VLOOKUP(X$6,'Hilfstabelle 1'!$A$4:$T$65,16,FALSE)*'2) Obst-Erntemengenerhebung'!X10),"0,00")</f>
        <v>0,00</v>
      </c>
      <c r="Y24" s="273" t="str">
        <f>IFERROR((VLOOKUP(Y$6,'Hilfstabelle 1'!$A$4:$T$65,16,FALSE)*'2) Obst-Erntemengenerhebung'!Y10),"0,00")</f>
        <v>0,00</v>
      </c>
      <c r="Z24" s="273" t="str">
        <f>IFERROR((VLOOKUP(Z$6,'Hilfstabelle 1'!$A$4:$T$65,16,FALSE)*'2) Obst-Erntemengenerhebung'!Z10),"0,00")</f>
        <v>0,00</v>
      </c>
      <c r="AA24" s="273" t="str">
        <f>IFERROR((VLOOKUP(AA$6,'Hilfstabelle 1'!$A$4:$T$65,16,FALSE)*'2) Obst-Erntemengenerhebung'!AA10),"0,00")</f>
        <v>0,00</v>
      </c>
      <c r="AB24" s="280">
        <f t="shared" si="3"/>
        <v>0</v>
      </c>
      <c r="AD24" s="2" t="str">
        <f t="shared" si="5"/>
        <v>---</v>
      </c>
    </row>
    <row r="25" spans="1:30" ht="15" hidden="1" customHeight="1" x14ac:dyDescent="0.25">
      <c r="A25" s="424" t="s">
        <v>98</v>
      </c>
      <c r="B25" s="425"/>
      <c r="C25" s="272" t="str">
        <f>IFERROR((VLOOKUP(C$6,'Hilfstabelle 1'!$A$4:$T$65,15,FALSE)*'2) Obst-Erntemengenerhebung'!C11),"0,00")</f>
        <v>0,00</v>
      </c>
      <c r="D25" s="273" t="str">
        <f>IFERROR((VLOOKUP(D$6,'Hilfstabelle 1'!$A$4:$T$65,15,FALSE)*'2) Obst-Erntemengenerhebung'!D11),"0,00")</f>
        <v>0,00</v>
      </c>
      <c r="E25" s="273" t="str">
        <f>IFERROR((VLOOKUP(E$6,'Hilfstabelle 1'!$A$4:$T$65,15,FALSE)*'2) Obst-Erntemengenerhebung'!E11),"0,00")</f>
        <v>0,00</v>
      </c>
      <c r="F25" s="273" t="str">
        <f>IFERROR((VLOOKUP(F$6,'Hilfstabelle 1'!$A$4:$T$65,15,FALSE)*'2) Obst-Erntemengenerhebung'!F11),"0,00")</f>
        <v>0,00</v>
      </c>
      <c r="G25" s="273" t="str">
        <f>IFERROR((VLOOKUP(G$6,'Hilfstabelle 1'!$A$4:$T$65,15,FALSE)*'2) Obst-Erntemengenerhebung'!G11),"0,00")</f>
        <v>0,00</v>
      </c>
      <c r="H25" s="273" t="str">
        <f>IFERROR((VLOOKUP(H$6,'Hilfstabelle 1'!$A$4:$T$65,15,FALSE)*'2) Obst-Erntemengenerhebung'!H11),"0,00")</f>
        <v>0,00</v>
      </c>
      <c r="I25" s="273" t="str">
        <f>IFERROR((VLOOKUP(I$6,'Hilfstabelle 1'!$A$4:$T$65,15,FALSE)*'2) Obst-Erntemengenerhebung'!I11),"0,00")</f>
        <v>0,00</v>
      </c>
      <c r="J25" s="273" t="str">
        <f>IFERROR((VLOOKUP(J$6,'Hilfstabelle 1'!$A$4:$T$65,15,FALSE)*'2) Obst-Erntemengenerhebung'!J11),"0,00")</f>
        <v>0,00</v>
      </c>
      <c r="K25" s="273" t="str">
        <f>IFERROR((VLOOKUP(K$6,'Hilfstabelle 1'!$A$4:$T$65,15,FALSE)*'2) Obst-Erntemengenerhebung'!K11),"0,00")</f>
        <v>0,00</v>
      </c>
      <c r="L25" s="273" t="str">
        <f>IFERROR((VLOOKUP(L$6,'Hilfstabelle 1'!$A$4:$T$65,15,FALSE)*'2) Obst-Erntemengenerhebung'!L11),"0,00")</f>
        <v>0,00</v>
      </c>
      <c r="M25" s="273" t="str">
        <f>IFERROR((VLOOKUP(M$6,'Hilfstabelle 1'!$A$4:$T$65,15,FALSE)*'2) Obst-Erntemengenerhebung'!M11),"0,00")</f>
        <v>0,00</v>
      </c>
      <c r="N25" s="273" t="str">
        <f>IFERROR((VLOOKUP(N$6,'Hilfstabelle 1'!$A$4:$T$65,15,FALSE)*'2) Obst-Erntemengenerhebung'!N11),"0,00")</f>
        <v>0,00</v>
      </c>
      <c r="O25" s="273" t="str">
        <f>IFERROR((VLOOKUP(O$6,'Hilfstabelle 1'!$A$4:$T$65,15,FALSE)*'2) Obst-Erntemengenerhebung'!O11),"0,00")</f>
        <v>0,00</v>
      </c>
      <c r="P25" s="273" t="str">
        <f>IFERROR((VLOOKUP(P$6,'Hilfstabelle 1'!$A$4:$T$65,15,FALSE)*'2) Obst-Erntemengenerhebung'!P11),"0,00")</f>
        <v>0,00</v>
      </c>
      <c r="Q25" s="273" t="str">
        <f>IFERROR((VLOOKUP(Q$6,'Hilfstabelle 1'!$A$4:$T$65,15,FALSE)*'2) Obst-Erntemengenerhebung'!Q11),"0,00")</f>
        <v>0,00</v>
      </c>
      <c r="R25" s="273" t="str">
        <f>IFERROR((VLOOKUP(R$6,'Hilfstabelle 1'!$A$4:$T$65,15,FALSE)*'2) Obst-Erntemengenerhebung'!R11),"0,00")</f>
        <v>0,00</v>
      </c>
      <c r="S25" s="273" t="str">
        <f>IFERROR((VLOOKUP(S$6,'Hilfstabelle 1'!$A$4:$T$65,15,FALSE)*'2) Obst-Erntemengenerhebung'!S11),"0,00")</f>
        <v>0,00</v>
      </c>
      <c r="T25" s="273" t="str">
        <f>IFERROR((VLOOKUP(T$6,'Hilfstabelle 1'!$A$4:$T$65,15,FALSE)*'2) Obst-Erntemengenerhebung'!T11),"0,00")</f>
        <v>0,00</v>
      </c>
      <c r="U25" s="273" t="str">
        <f>IFERROR((VLOOKUP(U$6,'Hilfstabelle 1'!$A$4:$T$65,15,FALSE)*'2) Obst-Erntemengenerhebung'!U11),"0,00")</f>
        <v>0,00</v>
      </c>
      <c r="V25" s="273" t="str">
        <f>IFERROR((VLOOKUP(V$6,'Hilfstabelle 1'!$A$4:$T$65,15,FALSE)*'2) Obst-Erntemengenerhebung'!V11),"0,00")</f>
        <v>0,00</v>
      </c>
      <c r="W25" s="273" t="str">
        <f>IFERROR((VLOOKUP(W$6,'Hilfstabelle 1'!$A$4:$T$65,15,FALSE)*'2) Obst-Erntemengenerhebung'!W11),"0,00")</f>
        <v>0,00</v>
      </c>
      <c r="X25" s="273" t="str">
        <f>IFERROR((VLOOKUP(X$6,'Hilfstabelle 1'!$A$4:$T$65,15,FALSE)*'2) Obst-Erntemengenerhebung'!X11),"0,00")</f>
        <v>0,00</v>
      </c>
      <c r="Y25" s="273" t="str">
        <f>IFERROR((VLOOKUP(Y$6,'Hilfstabelle 1'!$A$4:$T$65,15,FALSE)*'2) Obst-Erntemengenerhebung'!Y11),"0,00")</f>
        <v>0,00</v>
      </c>
      <c r="Z25" s="273" t="str">
        <f>IFERROR((VLOOKUP(Z$6,'Hilfstabelle 1'!$A$4:$T$65,15,FALSE)*'2) Obst-Erntemengenerhebung'!Z11),"0,00")</f>
        <v>0,00</v>
      </c>
      <c r="AA25" s="273" t="str">
        <f>IFERROR((VLOOKUP(AA$6,'Hilfstabelle 1'!$A$4:$T$65,15,FALSE)*'2) Obst-Erntemengenerhebung'!AA11),"0,00")</f>
        <v>0,00</v>
      </c>
      <c r="AB25" s="280">
        <f t="shared" si="3"/>
        <v>0</v>
      </c>
      <c r="AD25" s="2" t="str">
        <f t="shared" si="5"/>
        <v>---</v>
      </c>
    </row>
    <row r="26" spans="1:30" ht="15" customHeight="1" x14ac:dyDescent="0.25">
      <c r="A26" s="400" t="s">
        <v>255</v>
      </c>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299" t="str">
        <f>AD26</f>
        <v>0,00</v>
      </c>
      <c r="AD26" s="2" t="str">
        <f>IFERROR((IF(COUNT(AD21:AD25)&lt;=3,AVERAGE(AD21:AD25),(SUM(AD21:AD25)-MIN(AD21:AD25)-MAX(AD21:AD25))/((COUNT(AD21:AD25))-2))),"0,00")</f>
        <v>0,00</v>
      </c>
    </row>
    <row r="27" spans="1:30" ht="15" customHeight="1" x14ac:dyDescent="0.25">
      <c r="A27" s="52"/>
      <c r="B27" s="52"/>
      <c r="C27" s="50"/>
      <c r="D27" s="50"/>
      <c r="E27" s="50"/>
      <c r="F27" s="50"/>
      <c r="G27" s="50"/>
      <c r="H27" s="50"/>
      <c r="I27" s="50"/>
      <c r="J27" s="50"/>
      <c r="K27" s="50"/>
      <c r="L27" s="50"/>
      <c r="M27" s="50"/>
      <c r="N27" s="50"/>
      <c r="O27" s="50"/>
      <c r="P27" s="50"/>
      <c r="Q27" s="50"/>
      <c r="R27" s="50"/>
      <c r="S27" s="50"/>
      <c r="T27" s="50"/>
      <c r="U27" s="50"/>
      <c r="V27" s="50"/>
      <c r="W27" s="50"/>
      <c r="X27" s="50"/>
      <c r="Y27" s="437" t="s">
        <v>256</v>
      </c>
      <c r="Z27" s="437"/>
      <c r="AA27" s="437"/>
      <c r="AB27" s="299" t="str">
        <f>IFERROR(AVERAGE(AD21:AD23),"0,00")</f>
        <v>0,00</v>
      </c>
    </row>
    <row r="28" spans="1:30" ht="15" customHeight="1" x14ac:dyDescent="0.25">
      <c r="A28" s="52"/>
      <c r="B28" s="52"/>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30" ht="15" customHeight="1" x14ac:dyDescent="0.25">
      <c r="A29" s="52"/>
      <c r="B29" s="52"/>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30" x14ac:dyDescent="0.25">
      <c r="B30" s="42"/>
      <c r="C30" s="32"/>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1:30" x14ac:dyDescent="0.25">
      <c r="A31" s="423" t="s">
        <v>118</v>
      </c>
      <c r="B31" s="423"/>
      <c r="C31" s="423"/>
      <c r="D31" s="423"/>
      <c r="E31" s="423"/>
      <c r="F31" s="32"/>
      <c r="G31" s="32"/>
      <c r="H31" s="32"/>
      <c r="I31" s="32"/>
      <c r="J31" s="32"/>
      <c r="K31" s="32"/>
      <c r="L31" s="32"/>
      <c r="M31" s="32"/>
      <c r="N31" s="32"/>
      <c r="O31" s="32"/>
      <c r="P31" s="32"/>
      <c r="Q31" s="32"/>
      <c r="R31" s="32"/>
      <c r="S31" s="32"/>
      <c r="T31" s="32"/>
      <c r="U31" s="32"/>
      <c r="V31" s="32"/>
      <c r="W31" s="32"/>
      <c r="X31" s="32"/>
      <c r="Y31" s="32"/>
      <c r="Z31" s="32"/>
      <c r="AA31" s="32"/>
    </row>
    <row r="32" spans="1:30" ht="43.5" customHeight="1" thickBot="1" x14ac:dyDescent="0.3">
      <c r="A32" s="73" t="s">
        <v>83</v>
      </c>
      <c r="B32" s="89" t="s">
        <v>87</v>
      </c>
      <c r="C32" s="90"/>
      <c r="D32" s="74" t="s">
        <v>85</v>
      </c>
      <c r="E32" s="92" t="s">
        <v>213</v>
      </c>
      <c r="F32" s="93" t="s">
        <v>116</v>
      </c>
      <c r="G32" s="92" t="s">
        <v>117</v>
      </c>
      <c r="H32" s="432" t="s">
        <v>20</v>
      </c>
      <c r="I32" s="371"/>
      <c r="J32" s="75" t="s">
        <v>92</v>
      </c>
      <c r="K32" s="32"/>
      <c r="L32" s="412" t="s">
        <v>240</v>
      </c>
      <c r="M32" s="412"/>
      <c r="N32" s="412"/>
      <c r="O32" s="32"/>
      <c r="P32" s="32"/>
      <c r="Q32" s="32"/>
      <c r="R32" s="32"/>
      <c r="S32" s="32"/>
      <c r="T32" s="32"/>
      <c r="U32" s="32"/>
      <c r="V32" s="32"/>
      <c r="W32" s="32"/>
      <c r="X32" s="32"/>
      <c r="Y32" s="32"/>
      <c r="Z32" s="32"/>
      <c r="AA32" s="32"/>
    </row>
    <row r="33" spans="1:27" x14ac:dyDescent="0.25">
      <c r="A33" s="27"/>
      <c r="B33" s="438">
        <v>1234567899</v>
      </c>
      <c r="C33" s="439"/>
      <c r="D33" s="64" t="s">
        <v>88</v>
      </c>
      <c r="E33" s="65"/>
      <c r="F33" s="66"/>
      <c r="G33" s="67"/>
      <c r="H33" s="433" t="s">
        <v>4</v>
      </c>
      <c r="I33" s="434"/>
      <c r="J33" s="68">
        <v>1.0001</v>
      </c>
      <c r="K33" s="34"/>
      <c r="L33" s="412"/>
      <c r="M33" s="412"/>
      <c r="N33" s="412"/>
      <c r="O33" s="34"/>
      <c r="P33" s="34"/>
      <c r="Q33" s="34"/>
      <c r="R33" s="34"/>
      <c r="S33" s="34"/>
      <c r="T33" s="34"/>
      <c r="U33" s="34"/>
      <c r="V33" s="34"/>
      <c r="W33" s="34"/>
      <c r="X33" s="34"/>
      <c r="Y33" s="34"/>
      <c r="Z33" s="34"/>
      <c r="AA33" s="34"/>
    </row>
    <row r="34" spans="1:27" ht="15.75" thickBot="1" x14ac:dyDescent="0.3">
      <c r="A34" s="25"/>
      <c r="B34" s="440"/>
      <c r="C34" s="441"/>
      <c r="D34" s="70"/>
      <c r="E34" s="71" t="s">
        <v>89</v>
      </c>
      <c r="F34" s="69" t="s">
        <v>88</v>
      </c>
      <c r="G34" s="69" t="s">
        <v>88</v>
      </c>
      <c r="H34" s="397" t="s">
        <v>4</v>
      </c>
      <c r="I34" s="398"/>
      <c r="J34" s="72">
        <v>2.0001000000000002</v>
      </c>
      <c r="K34" s="34"/>
      <c r="L34" s="412"/>
      <c r="M34" s="412"/>
      <c r="N34" s="412"/>
      <c r="O34" s="34"/>
      <c r="P34" s="34"/>
      <c r="Q34" s="34"/>
      <c r="R34" s="34"/>
      <c r="S34" s="34"/>
      <c r="T34" s="34"/>
      <c r="U34" s="34"/>
      <c r="V34" s="34"/>
      <c r="W34" s="34"/>
      <c r="X34" s="34"/>
      <c r="Y34" s="34"/>
      <c r="Z34" s="34"/>
      <c r="AA34" s="34"/>
    </row>
    <row r="35" spans="1:27" x14ac:dyDescent="0.25">
      <c r="A35" s="1">
        <v>1</v>
      </c>
      <c r="B35" s="442"/>
      <c r="C35" s="443"/>
      <c r="D35" s="101"/>
      <c r="E35" s="102"/>
      <c r="F35" s="103"/>
      <c r="G35" s="104"/>
      <c r="H35" s="399"/>
      <c r="I35" s="399"/>
      <c r="J35" s="105"/>
      <c r="K35" s="34"/>
      <c r="L35" s="412"/>
      <c r="M35" s="412"/>
      <c r="N35" s="412"/>
      <c r="O35" s="34"/>
      <c r="P35" s="34"/>
      <c r="Q35" s="34"/>
      <c r="R35" s="34"/>
      <c r="S35" s="34"/>
      <c r="T35" s="34"/>
      <c r="U35" s="34"/>
      <c r="V35" s="34"/>
      <c r="W35" s="34"/>
      <c r="X35" s="34"/>
      <c r="Y35" s="34"/>
      <c r="Z35" s="34"/>
      <c r="AA35" s="34"/>
    </row>
    <row r="36" spans="1:27" x14ac:dyDescent="0.25">
      <c r="A36" s="2">
        <v>2</v>
      </c>
      <c r="B36" s="435"/>
      <c r="C36" s="436"/>
      <c r="D36" s="106"/>
      <c r="E36" s="107"/>
      <c r="F36" s="108"/>
      <c r="G36" s="109"/>
      <c r="H36" s="401"/>
      <c r="I36" s="401"/>
      <c r="J36" s="110"/>
      <c r="K36" s="34"/>
      <c r="L36" s="412"/>
      <c r="M36" s="412"/>
      <c r="N36" s="412"/>
      <c r="O36" s="34"/>
      <c r="P36" s="34"/>
      <c r="Q36" s="34"/>
      <c r="R36" s="34"/>
      <c r="S36" s="34"/>
      <c r="T36" s="34"/>
      <c r="U36" s="34"/>
      <c r="V36" s="34"/>
      <c r="W36" s="34"/>
      <c r="X36" s="34"/>
      <c r="Y36" s="34"/>
      <c r="Z36" s="34"/>
      <c r="AA36" s="34"/>
    </row>
    <row r="37" spans="1:27" x14ac:dyDescent="0.25">
      <c r="A37" s="2">
        <v>3</v>
      </c>
      <c r="B37" s="435"/>
      <c r="C37" s="436"/>
      <c r="D37" s="106"/>
      <c r="E37" s="107"/>
      <c r="F37" s="108"/>
      <c r="G37" s="109"/>
      <c r="H37" s="401"/>
      <c r="I37" s="401"/>
      <c r="J37" s="110"/>
      <c r="K37" s="84"/>
      <c r="L37" s="412"/>
      <c r="M37" s="412"/>
      <c r="N37" s="412"/>
      <c r="O37" s="47"/>
      <c r="P37" s="47"/>
      <c r="Q37" s="47"/>
      <c r="R37" s="47"/>
      <c r="S37" s="47"/>
      <c r="T37" s="47"/>
      <c r="U37" s="47"/>
      <c r="V37" s="47"/>
      <c r="W37" s="47"/>
      <c r="X37" s="47"/>
      <c r="Y37" s="47"/>
      <c r="Z37" s="47"/>
      <c r="AA37" s="47"/>
    </row>
    <row r="38" spans="1:27" s="49" customFormat="1" x14ac:dyDescent="0.25">
      <c r="A38" s="48">
        <v>4</v>
      </c>
      <c r="B38" s="435"/>
      <c r="C38" s="436"/>
      <c r="D38" s="106"/>
      <c r="E38" s="107"/>
      <c r="F38" s="108"/>
      <c r="G38" s="111"/>
      <c r="H38" s="401"/>
      <c r="I38" s="401"/>
      <c r="J38" s="110"/>
      <c r="K38" s="23"/>
      <c r="L38" s="412"/>
      <c r="M38" s="412"/>
      <c r="N38" s="412"/>
      <c r="O38" s="23"/>
      <c r="P38" s="23"/>
      <c r="Q38" s="23"/>
      <c r="R38" s="23"/>
      <c r="S38" s="23"/>
      <c r="T38" s="23"/>
      <c r="U38" s="23"/>
      <c r="V38" s="23"/>
      <c r="W38" s="23"/>
      <c r="X38" s="23"/>
      <c r="Y38" s="23"/>
      <c r="Z38" s="23"/>
      <c r="AA38" s="23"/>
    </row>
    <row r="39" spans="1:27" x14ac:dyDescent="0.25">
      <c r="A39" s="2">
        <v>5</v>
      </c>
      <c r="B39" s="435"/>
      <c r="C39" s="436"/>
      <c r="D39" s="106"/>
      <c r="E39" s="107"/>
      <c r="F39" s="108"/>
      <c r="G39" s="109"/>
      <c r="H39" s="401"/>
      <c r="I39" s="401"/>
      <c r="J39" s="110"/>
      <c r="K39" s="32"/>
      <c r="L39" s="412"/>
      <c r="M39" s="412"/>
      <c r="N39" s="412"/>
      <c r="O39" s="32"/>
      <c r="P39" s="32"/>
      <c r="Q39" s="32"/>
      <c r="R39" s="32"/>
      <c r="S39" s="32"/>
      <c r="T39" s="32"/>
      <c r="U39" s="32"/>
      <c r="V39" s="32"/>
      <c r="W39" s="32"/>
      <c r="X39" s="32"/>
      <c r="Y39" s="32"/>
      <c r="Z39" s="32"/>
      <c r="AA39" s="32"/>
    </row>
    <row r="40" spans="1:27" x14ac:dyDescent="0.25">
      <c r="A40" s="2">
        <v>6</v>
      </c>
      <c r="B40" s="435"/>
      <c r="C40" s="436"/>
      <c r="D40" s="106"/>
      <c r="E40" s="107"/>
      <c r="F40" s="108"/>
      <c r="G40" s="109"/>
      <c r="H40" s="401"/>
      <c r="I40" s="401"/>
      <c r="J40" s="110"/>
      <c r="K40" s="32"/>
      <c r="L40" s="412"/>
      <c r="M40" s="412"/>
      <c r="N40" s="412"/>
      <c r="O40" s="32"/>
      <c r="P40" s="32"/>
      <c r="Q40" s="32"/>
      <c r="R40" s="32"/>
      <c r="S40" s="32"/>
      <c r="T40" s="32"/>
      <c r="U40" s="32"/>
      <c r="V40" s="32"/>
      <c r="W40" s="32"/>
      <c r="X40" s="32"/>
      <c r="Y40" s="32"/>
      <c r="Z40" s="32"/>
      <c r="AA40" s="32"/>
    </row>
    <row r="41" spans="1:27" x14ac:dyDescent="0.25">
      <c r="A41" s="2">
        <v>7</v>
      </c>
      <c r="B41" s="435"/>
      <c r="C41" s="436"/>
      <c r="D41" s="106"/>
      <c r="E41" s="107"/>
      <c r="F41" s="108"/>
      <c r="G41" s="109"/>
      <c r="H41" s="401"/>
      <c r="I41" s="401"/>
      <c r="J41" s="110"/>
      <c r="K41" s="32"/>
      <c r="L41" s="412"/>
      <c r="M41" s="412"/>
      <c r="N41" s="412"/>
      <c r="O41" s="32"/>
      <c r="P41" s="32"/>
      <c r="Q41" s="32"/>
      <c r="R41" s="32"/>
      <c r="S41" s="32"/>
      <c r="T41" s="32"/>
      <c r="U41" s="32"/>
      <c r="V41" s="32"/>
      <c r="W41" s="32"/>
      <c r="X41" s="32"/>
      <c r="Y41" s="32"/>
      <c r="Z41" s="32"/>
      <c r="AA41" s="32"/>
    </row>
    <row r="42" spans="1:27" x14ac:dyDescent="0.25">
      <c r="A42" s="2">
        <v>8</v>
      </c>
      <c r="B42" s="435"/>
      <c r="C42" s="436"/>
      <c r="D42" s="106"/>
      <c r="E42" s="107"/>
      <c r="F42" s="108"/>
      <c r="G42" s="109"/>
      <c r="H42" s="401"/>
      <c r="I42" s="401"/>
      <c r="J42" s="110"/>
      <c r="K42" s="34"/>
      <c r="L42" s="412"/>
      <c r="M42" s="412"/>
      <c r="N42" s="412"/>
      <c r="O42" s="34"/>
      <c r="P42" s="34"/>
      <c r="Q42" s="34"/>
      <c r="R42" s="34"/>
      <c r="S42" s="34"/>
      <c r="T42" s="34"/>
      <c r="U42" s="34"/>
      <c r="V42" s="34"/>
      <c r="W42" s="34"/>
      <c r="X42" s="34"/>
      <c r="Y42" s="34"/>
      <c r="Z42" s="34"/>
      <c r="AA42" s="34"/>
    </row>
    <row r="43" spans="1:27" x14ac:dyDescent="0.25">
      <c r="A43" s="2">
        <v>9</v>
      </c>
      <c r="B43" s="435"/>
      <c r="C43" s="436"/>
      <c r="D43" s="106"/>
      <c r="E43" s="107"/>
      <c r="F43" s="108"/>
      <c r="G43" s="109"/>
      <c r="H43" s="401"/>
      <c r="I43" s="401"/>
      <c r="J43" s="110"/>
      <c r="K43" s="34"/>
      <c r="L43" s="412"/>
      <c r="M43" s="412"/>
      <c r="N43" s="412"/>
      <c r="O43" s="34"/>
      <c r="P43" s="34"/>
      <c r="Q43" s="34"/>
      <c r="R43" s="34"/>
      <c r="S43" s="34"/>
      <c r="T43" s="34"/>
      <c r="U43" s="34"/>
      <c r="V43" s="34"/>
      <c r="W43" s="34"/>
      <c r="X43" s="34"/>
      <c r="Y43" s="34"/>
      <c r="Z43" s="34"/>
      <c r="AA43" s="34"/>
    </row>
    <row r="44" spans="1:27" x14ac:dyDescent="0.25">
      <c r="A44" s="2">
        <v>10</v>
      </c>
      <c r="B44" s="435"/>
      <c r="C44" s="436"/>
      <c r="D44" s="106"/>
      <c r="E44" s="107"/>
      <c r="F44" s="108"/>
      <c r="G44" s="109"/>
      <c r="H44" s="401"/>
      <c r="I44" s="401"/>
      <c r="J44" s="110"/>
      <c r="K44" s="34"/>
      <c r="L44" s="412"/>
      <c r="M44" s="412"/>
      <c r="N44" s="412"/>
      <c r="O44" s="34"/>
      <c r="P44" s="34"/>
      <c r="Q44" s="34"/>
      <c r="R44" s="34"/>
      <c r="S44" s="34"/>
      <c r="T44" s="34"/>
      <c r="U44" s="34"/>
      <c r="V44" s="34"/>
      <c r="W44" s="34"/>
      <c r="X44" s="34"/>
      <c r="Y44" s="34"/>
      <c r="Z44" s="34"/>
      <c r="AA44" s="34"/>
    </row>
    <row r="45" spans="1:27" x14ac:dyDescent="0.25">
      <c r="A45" s="2">
        <v>11</v>
      </c>
      <c r="B45" s="435"/>
      <c r="C45" s="436"/>
      <c r="D45" s="106"/>
      <c r="E45" s="107"/>
      <c r="F45" s="108"/>
      <c r="G45" s="109"/>
      <c r="H45" s="401"/>
      <c r="I45" s="401"/>
      <c r="J45" s="110"/>
      <c r="K45" s="43"/>
      <c r="L45" s="412"/>
      <c r="M45" s="412"/>
      <c r="N45" s="412"/>
      <c r="O45" s="43"/>
      <c r="P45" s="43"/>
      <c r="Q45" s="43"/>
      <c r="R45" s="43"/>
      <c r="S45" s="43"/>
      <c r="T45" s="43"/>
      <c r="U45" s="43"/>
      <c r="V45" s="43"/>
      <c r="W45" s="43"/>
      <c r="X45" s="43"/>
      <c r="Y45" s="43"/>
      <c r="Z45" s="43"/>
      <c r="AA45" s="43"/>
    </row>
    <row r="46" spans="1:27" x14ac:dyDescent="0.25">
      <c r="A46" s="2">
        <v>12</v>
      </c>
      <c r="B46" s="435"/>
      <c r="C46" s="436"/>
      <c r="D46" s="106"/>
      <c r="E46" s="107"/>
      <c r="F46" s="108"/>
      <c r="G46" s="109"/>
      <c r="H46" s="401"/>
      <c r="I46" s="401"/>
      <c r="J46" s="110"/>
      <c r="K46" s="34"/>
      <c r="L46" s="412"/>
      <c r="M46" s="412"/>
      <c r="N46" s="412"/>
      <c r="O46" s="34"/>
      <c r="P46" s="34"/>
      <c r="Q46" s="34"/>
      <c r="R46" s="34"/>
      <c r="S46" s="34"/>
      <c r="T46" s="34"/>
      <c r="U46" s="34"/>
      <c r="V46" s="34"/>
      <c r="W46" s="34"/>
      <c r="X46" s="34"/>
      <c r="Y46" s="34"/>
      <c r="Z46" s="34"/>
      <c r="AA46" s="34"/>
    </row>
    <row r="47" spans="1:27" x14ac:dyDescent="0.25">
      <c r="A47" s="2">
        <v>13</v>
      </c>
      <c r="B47" s="435"/>
      <c r="C47" s="436"/>
      <c r="D47" s="106"/>
      <c r="E47" s="107"/>
      <c r="F47" s="108"/>
      <c r="G47" s="109"/>
      <c r="H47" s="401"/>
      <c r="I47" s="401"/>
      <c r="J47" s="110"/>
      <c r="K47" s="34"/>
      <c r="L47" s="412"/>
      <c r="M47" s="412"/>
      <c r="N47" s="412"/>
      <c r="O47" s="34"/>
      <c r="P47" s="34"/>
      <c r="Q47" s="34"/>
      <c r="R47" s="34"/>
      <c r="S47" s="34"/>
      <c r="T47" s="34"/>
      <c r="U47" s="34"/>
      <c r="V47" s="34"/>
      <c r="W47" s="34"/>
      <c r="X47" s="34"/>
      <c r="Y47" s="34"/>
      <c r="Z47" s="34"/>
      <c r="AA47" s="34"/>
    </row>
    <row r="48" spans="1:27" x14ac:dyDescent="0.25">
      <c r="A48" s="2">
        <v>14</v>
      </c>
      <c r="B48" s="435"/>
      <c r="C48" s="436"/>
      <c r="D48" s="106"/>
      <c r="E48" s="107"/>
      <c r="F48" s="108"/>
      <c r="G48" s="109"/>
      <c r="H48" s="401"/>
      <c r="I48" s="401"/>
      <c r="J48" s="110"/>
      <c r="K48" s="47"/>
      <c r="L48" s="412"/>
      <c r="M48" s="412"/>
      <c r="N48" s="412"/>
      <c r="O48" s="47"/>
      <c r="P48" s="47"/>
      <c r="Q48" s="47"/>
      <c r="R48" s="47"/>
      <c r="S48" s="47"/>
      <c r="T48" s="47"/>
      <c r="U48" s="47"/>
      <c r="V48" s="47"/>
      <c r="W48" s="47"/>
      <c r="X48" s="47"/>
      <c r="Y48" s="47"/>
      <c r="Z48" s="47"/>
      <c r="AA48" s="47"/>
    </row>
    <row r="49" spans="1:27" x14ac:dyDescent="0.25">
      <c r="A49" s="2">
        <v>15</v>
      </c>
      <c r="B49" s="435"/>
      <c r="C49" s="436"/>
      <c r="D49" s="106"/>
      <c r="E49" s="107"/>
      <c r="F49" s="108"/>
      <c r="G49" s="109"/>
      <c r="H49" s="401"/>
      <c r="I49" s="401"/>
      <c r="J49" s="110"/>
      <c r="K49" s="23"/>
      <c r="L49" s="23"/>
      <c r="M49" s="23"/>
      <c r="N49" s="23"/>
      <c r="O49" s="23"/>
      <c r="P49" s="23"/>
      <c r="Q49" s="23"/>
      <c r="R49" s="23"/>
      <c r="S49" s="23"/>
      <c r="T49" s="23"/>
      <c r="U49" s="23"/>
      <c r="V49" s="23"/>
      <c r="W49" s="23"/>
      <c r="X49" s="23"/>
      <c r="Y49" s="23"/>
      <c r="Z49" s="23"/>
      <c r="AA49" s="23"/>
    </row>
    <row r="50" spans="1:27" x14ac:dyDescent="0.25">
      <c r="A50" s="2">
        <v>16</v>
      </c>
      <c r="B50" s="435"/>
      <c r="C50" s="436"/>
      <c r="D50" s="106"/>
      <c r="E50" s="107"/>
      <c r="F50" s="108"/>
      <c r="G50" s="109"/>
      <c r="H50" s="401"/>
      <c r="I50" s="401"/>
      <c r="J50" s="110"/>
      <c r="K50" s="32"/>
      <c r="L50" s="32"/>
      <c r="M50" s="32"/>
      <c r="N50" s="32"/>
      <c r="O50" s="32"/>
      <c r="P50" s="32"/>
      <c r="Q50" s="32"/>
      <c r="R50" s="32"/>
      <c r="S50" s="32"/>
      <c r="T50" s="32"/>
      <c r="U50" s="32"/>
      <c r="V50" s="32"/>
      <c r="W50" s="32"/>
      <c r="X50" s="32"/>
      <c r="Y50" s="32"/>
      <c r="Z50" s="32"/>
      <c r="AA50" s="32"/>
    </row>
    <row r="51" spans="1:27" x14ac:dyDescent="0.25">
      <c r="A51" s="2">
        <v>17</v>
      </c>
      <c r="B51" s="435"/>
      <c r="C51" s="436"/>
      <c r="D51" s="106"/>
      <c r="E51" s="107"/>
      <c r="F51" s="108"/>
      <c r="G51" s="109"/>
      <c r="H51" s="401"/>
      <c r="I51" s="401"/>
      <c r="J51" s="110"/>
      <c r="K51" s="32"/>
      <c r="L51" s="32"/>
      <c r="M51" s="32"/>
      <c r="N51" s="32"/>
      <c r="O51" s="32"/>
      <c r="P51" s="32"/>
      <c r="Q51" s="32"/>
      <c r="R51" s="32"/>
      <c r="S51" s="32"/>
      <c r="T51" s="32"/>
      <c r="U51" s="32"/>
      <c r="V51" s="32"/>
      <c r="W51" s="32"/>
      <c r="X51" s="32"/>
      <c r="Y51" s="32"/>
      <c r="Z51" s="32"/>
      <c r="AA51" s="32"/>
    </row>
    <row r="52" spans="1:27" x14ac:dyDescent="0.25">
      <c r="A52" s="2">
        <v>18</v>
      </c>
      <c r="B52" s="435"/>
      <c r="C52" s="436"/>
      <c r="D52" s="106"/>
      <c r="E52" s="107"/>
      <c r="F52" s="108"/>
      <c r="G52" s="109"/>
      <c r="H52" s="401"/>
      <c r="I52" s="401"/>
      <c r="J52" s="110"/>
      <c r="K52" s="32"/>
      <c r="L52" s="32"/>
      <c r="M52" s="32"/>
      <c r="N52" s="32"/>
      <c r="O52" s="32"/>
      <c r="P52" s="32"/>
      <c r="Q52" s="32"/>
      <c r="R52" s="32"/>
      <c r="S52" s="32"/>
      <c r="T52" s="32"/>
      <c r="U52" s="32"/>
      <c r="V52" s="32"/>
      <c r="W52" s="32"/>
      <c r="X52" s="32"/>
      <c r="Y52" s="32"/>
      <c r="Z52" s="32"/>
      <c r="AA52" s="32"/>
    </row>
    <row r="53" spans="1:27" x14ac:dyDescent="0.25">
      <c r="A53" s="2">
        <v>19</v>
      </c>
      <c r="B53" s="435"/>
      <c r="C53" s="436"/>
      <c r="D53" s="106"/>
      <c r="E53" s="107"/>
      <c r="F53" s="108"/>
      <c r="G53" s="109"/>
      <c r="H53" s="401"/>
      <c r="I53" s="401"/>
      <c r="J53" s="110"/>
      <c r="K53" s="34"/>
      <c r="L53" s="34"/>
      <c r="M53" s="34"/>
      <c r="N53" s="34"/>
      <c r="O53" s="34"/>
      <c r="P53" s="34"/>
      <c r="Q53" s="34"/>
      <c r="R53" s="34"/>
      <c r="S53" s="34"/>
      <c r="T53" s="34"/>
      <c r="U53" s="34"/>
      <c r="V53" s="34"/>
      <c r="W53" s="34"/>
      <c r="X53" s="34"/>
      <c r="Y53" s="34"/>
      <c r="Z53" s="34"/>
      <c r="AA53" s="34"/>
    </row>
    <row r="54" spans="1:27" x14ac:dyDescent="0.25">
      <c r="A54" s="2">
        <v>20</v>
      </c>
      <c r="B54" s="435"/>
      <c r="C54" s="436"/>
      <c r="D54" s="106"/>
      <c r="E54" s="107"/>
      <c r="F54" s="108"/>
      <c r="G54" s="109"/>
      <c r="H54" s="401"/>
      <c r="I54" s="401"/>
      <c r="J54" s="110"/>
      <c r="K54" s="34"/>
      <c r="L54" s="34"/>
      <c r="M54" s="34"/>
      <c r="N54" s="34"/>
      <c r="O54" s="34"/>
      <c r="P54" s="34"/>
      <c r="Q54" s="34"/>
      <c r="R54" s="34"/>
      <c r="S54" s="34"/>
      <c r="T54" s="34"/>
      <c r="U54" s="34"/>
      <c r="V54" s="34"/>
      <c r="W54" s="34"/>
      <c r="X54" s="34"/>
      <c r="Y54" s="34"/>
      <c r="Z54" s="34"/>
      <c r="AA54" s="34"/>
    </row>
    <row r="55" spans="1:27" x14ac:dyDescent="0.25">
      <c r="A55" s="2">
        <v>21</v>
      </c>
      <c r="B55" s="435"/>
      <c r="C55" s="436"/>
      <c r="D55" s="106"/>
      <c r="E55" s="107"/>
      <c r="F55" s="108"/>
      <c r="G55" s="109"/>
      <c r="H55" s="401"/>
      <c r="I55" s="401"/>
      <c r="J55" s="110"/>
      <c r="K55" s="34"/>
      <c r="L55" s="34"/>
      <c r="M55" s="34"/>
      <c r="N55" s="34"/>
      <c r="O55" s="34"/>
      <c r="P55" s="34"/>
      <c r="Q55" s="34"/>
      <c r="R55" s="34"/>
      <c r="S55" s="34"/>
      <c r="T55" s="34"/>
      <c r="U55" s="34"/>
      <c r="V55" s="34"/>
      <c r="W55" s="34"/>
      <c r="X55" s="34"/>
      <c r="Y55" s="34"/>
      <c r="Z55" s="34"/>
      <c r="AA55" s="34"/>
    </row>
    <row r="56" spans="1:27" x14ac:dyDescent="0.25">
      <c r="A56" s="2">
        <v>22</v>
      </c>
      <c r="B56" s="435"/>
      <c r="C56" s="436"/>
      <c r="D56" s="106"/>
      <c r="E56" s="107"/>
      <c r="F56" s="108"/>
      <c r="G56" s="109"/>
      <c r="H56" s="401"/>
      <c r="I56" s="401"/>
      <c r="J56" s="110"/>
      <c r="K56" s="43"/>
      <c r="L56" s="43"/>
      <c r="M56" s="43"/>
      <c r="N56" s="43"/>
      <c r="O56" s="43"/>
      <c r="P56" s="43"/>
      <c r="Q56" s="43"/>
      <c r="R56" s="43"/>
      <c r="S56" s="43"/>
      <c r="T56" s="43"/>
      <c r="U56" s="43"/>
      <c r="V56" s="43"/>
      <c r="W56" s="43"/>
      <c r="X56" s="43"/>
      <c r="Y56" s="43"/>
      <c r="Z56" s="43"/>
      <c r="AA56" s="43"/>
    </row>
    <row r="57" spans="1:27" x14ac:dyDescent="0.25">
      <c r="A57" s="2">
        <v>23</v>
      </c>
      <c r="B57" s="435"/>
      <c r="C57" s="436"/>
      <c r="D57" s="106"/>
      <c r="E57" s="107"/>
      <c r="F57" s="108"/>
      <c r="G57" s="109"/>
      <c r="H57" s="401"/>
      <c r="I57" s="401"/>
      <c r="J57" s="110"/>
      <c r="K57" s="34"/>
      <c r="L57" s="34"/>
      <c r="M57" s="34"/>
      <c r="N57" s="34"/>
      <c r="O57" s="34"/>
      <c r="P57" s="34"/>
      <c r="Q57" s="34"/>
      <c r="R57" s="34"/>
      <c r="S57" s="34"/>
      <c r="T57" s="34"/>
      <c r="U57" s="34"/>
      <c r="V57" s="34"/>
      <c r="W57" s="34"/>
      <c r="X57" s="34"/>
      <c r="Y57" s="34"/>
      <c r="Z57" s="34"/>
      <c r="AA57" s="34"/>
    </row>
    <row r="58" spans="1:27" x14ac:dyDescent="0.25">
      <c r="A58" s="2">
        <v>24</v>
      </c>
      <c r="B58" s="435"/>
      <c r="C58" s="436"/>
      <c r="D58" s="106"/>
      <c r="E58" s="107"/>
      <c r="F58" s="108"/>
      <c r="G58" s="109"/>
      <c r="H58" s="401"/>
      <c r="I58" s="401"/>
      <c r="J58" s="110"/>
      <c r="K58" s="34"/>
      <c r="L58" s="34"/>
      <c r="M58" s="34"/>
      <c r="N58" s="34"/>
      <c r="O58" s="34"/>
      <c r="P58" s="34"/>
      <c r="Q58" s="34"/>
      <c r="R58" s="34"/>
      <c r="S58" s="34"/>
      <c r="T58" s="34"/>
      <c r="U58" s="34"/>
      <c r="V58" s="34"/>
      <c r="W58" s="34"/>
      <c r="X58" s="34"/>
      <c r="Y58" s="34"/>
      <c r="Z58" s="34"/>
      <c r="AA58" s="34"/>
    </row>
    <row r="59" spans="1:27" x14ac:dyDescent="0.25">
      <c r="A59" s="2">
        <v>25</v>
      </c>
      <c r="B59" s="435"/>
      <c r="C59" s="436"/>
      <c r="D59" s="106"/>
      <c r="E59" s="107"/>
      <c r="F59" s="108"/>
      <c r="G59" s="109"/>
      <c r="H59" s="401"/>
      <c r="I59" s="401"/>
      <c r="J59" s="110"/>
      <c r="K59" s="47"/>
      <c r="L59" s="47"/>
      <c r="M59" s="47"/>
      <c r="N59" s="47"/>
      <c r="O59" s="47"/>
      <c r="P59" s="47"/>
      <c r="Q59" s="47"/>
      <c r="R59" s="47"/>
      <c r="S59" s="47"/>
      <c r="T59" s="47"/>
      <c r="U59" s="47"/>
      <c r="V59" s="47"/>
      <c r="W59" s="47"/>
      <c r="X59" s="47"/>
      <c r="Y59" s="47"/>
      <c r="Z59" s="47"/>
      <c r="AA59" s="47"/>
    </row>
    <row r="60" spans="1:27" x14ac:dyDescent="0.25">
      <c r="A60" s="2">
        <v>26</v>
      </c>
      <c r="B60" s="435"/>
      <c r="C60" s="436"/>
      <c r="D60" s="106"/>
      <c r="E60" s="107"/>
      <c r="F60" s="108"/>
      <c r="G60" s="109"/>
      <c r="H60" s="401"/>
      <c r="I60" s="401"/>
      <c r="J60" s="110"/>
      <c r="K60" s="23"/>
      <c r="L60" s="23"/>
      <c r="M60" s="23"/>
      <c r="N60" s="23"/>
      <c r="O60" s="23"/>
      <c r="P60" s="23"/>
      <c r="Q60" s="23"/>
      <c r="R60" s="23"/>
      <c r="S60" s="23"/>
      <c r="T60" s="23"/>
      <c r="U60" s="23"/>
      <c r="V60" s="23"/>
      <c r="W60" s="23"/>
      <c r="X60" s="23"/>
      <c r="Y60" s="23"/>
      <c r="Z60" s="23"/>
      <c r="AA60" s="23"/>
    </row>
    <row r="61" spans="1:27" x14ac:dyDescent="0.25">
      <c r="A61" s="2">
        <v>27</v>
      </c>
      <c r="B61" s="435"/>
      <c r="C61" s="436"/>
      <c r="D61" s="106"/>
      <c r="E61" s="107"/>
      <c r="F61" s="108"/>
      <c r="G61" s="109"/>
      <c r="H61" s="401"/>
      <c r="I61" s="401"/>
      <c r="J61" s="110"/>
      <c r="K61" s="32"/>
      <c r="L61" s="32"/>
      <c r="M61" s="32"/>
      <c r="N61" s="32"/>
      <c r="O61" s="32"/>
      <c r="P61" s="32"/>
      <c r="Q61" s="32"/>
      <c r="R61" s="32"/>
      <c r="S61" s="32"/>
      <c r="T61" s="32"/>
      <c r="U61" s="32"/>
      <c r="V61" s="32"/>
      <c r="W61" s="32"/>
      <c r="X61" s="32"/>
      <c r="Y61" s="32"/>
      <c r="Z61" s="32"/>
      <c r="AA61" s="32"/>
    </row>
    <row r="62" spans="1:27" x14ac:dyDescent="0.25">
      <c r="A62" s="2">
        <v>28</v>
      </c>
      <c r="B62" s="435"/>
      <c r="C62" s="436"/>
      <c r="D62" s="106"/>
      <c r="E62" s="107"/>
      <c r="F62" s="108"/>
      <c r="G62" s="109"/>
      <c r="H62" s="401"/>
      <c r="I62" s="401"/>
      <c r="J62" s="110"/>
      <c r="K62" s="32"/>
      <c r="L62" s="32"/>
      <c r="M62" s="32"/>
      <c r="N62" s="32"/>
      <c r="O62" s="32"/>
      <c r="P62" s="32"/>
      <c r="Q62" s="32"/>
      <c r="R62" s="32"/>
      <c r="S62" s="32"/>
      <c r="T62" s="32"/>
      <c r="U62" s="32"/>
      <c r="V62" s="32"/>
      <c r="W62" s="32"/>
      <c r="X62" s="32"/>
      <c r="Y62" s="32"/>
      <c r="Z62" s="32"/>
      <c r="AA62" s="32"/>
    </row>
    <row r="63" spans="1:27" x14ac:dyDescent="0.25">
      <c r="A63" s="2">
        <v>29</v>
      </c>
      <c r="B63" s="435"/>
      <c r="C63" s="436"/>
      <c r="D63" s="106"/>
      <c r="E63" s="107"/>
      <c r="F63" s="108"/>
      <c r="G63" s="109"/>
      <c r="H63" s="401"/>
      <c r="I63" s="401"/>
      <c r="J63" s="110"/>
      <c r="K63" s="32"/>
      <c r="L63" s="32"/>
      <c r="M63" s="32"/>
      <c r="N63" s="32"/>
      <c r="O63" s="32"/>
      <c r="P63" s="32"/>
      <c r="Q63" s="32"/>
      <c r="R63" s="32"/>
      <c r="S63" s="32"/>
      <c r="T63" s="32"/>
      <c r="U63" s="32"/>
      <c r="V63" s="32"/>
      <c r="W63" s="32"/>
      <c r="X63" s="32"/>
      <c r="Y63" s="32"/>
      <c r="Z63" s="32"/>
      <c r="AA63" s="32"/>
    </row>
    <row r="64" spans="1:27" x14ac:dyDescent="0.25">
      <c r="A64" s="2">
        <v>30</v>
      </c>
      <c r="B64" s="435"/>
      <c r="C64" s="436"/>
      <c r="D64" s="106"/>
      <c r="E64" s="107"/>
      <c r="F64" s="108"/>
      <c r="G64" s="109"/>
      <c r="H64" s="401"/>
      <c r="I64" s="401"/>
      <c r="J64" s="110"/>
      <c r="K64" s="34"/>
      <c r="L64" s="34"/>
      <c r="M64" s="34"/>
      <c r="N64" s="34"/>
      <c r="O64" s="34"/>
      <c r="P64" s="34"/>
      <c r="Q64" s="34"/>
      <c r="R64" s="34"/>
      <c r="S64" s="34"/>
      <c r="T64" s="34"/>
      <c r="U64" s="34"/>
      <c r="V64" s="34"/>
      <c r="W64" s="34"/>
      <c r="X64" s="34"/>
      <c r="Y64" s="34"/>
      <c r="Z64" s="34"/>
      <c r="AA64" s="34"/>
    </row>
    <row r="65" spans="1:35" x14ac:dyDescent="0.25">
      <c r="A65" s="2">
        <v>31</v>
      </c>
      <c r="B65" s="435"/>
      <c r="C65" s="436"/>
      <c r="D65" s="106"/>
      <c r="E65" s="107"/>
      <c r="F65" s="108"/>
      <c r="G65" s="109"/>
      <c r="H65" s="401"/>
      <c r="I65" s="401"/>
      <c r="J65" s="110"/>
      <c r="K65" s="34"/>
      <c r="L65" s="34"/>
      <c r="M65" s="34"/>
      <c r="N65" s="34"/>
      <c r="O65" s="34"/>
      <c r="P65" s="34"/>
      <c r="Q65" s="34"/>
      <c r="R65" s="34"/>
      <c r="S65" s="34"/>
      <c r="T65" s="34"/>
      <c r="U65" s="34"/>
      <c r="V65" s="34"/>
      <c r="W65" s="34"/>
      <c r="X65" s="34"/>
      <c r="Y65" s="34"/>
      <c r="Z65" s="34"/>
      <c r="AA65" s="34"/>
    </row>
    <row r="66" spans="1:35" x14ac:dyDescent="0.25">
      <c r="A66" s="2">
        <v>32</v>
      </c>
      <c r="B66" s="435"/>
      <c r="C66" s="436"/>
      <c r="D66" s="106"/>
      <c r="E66" s="107"/>
      <c r="F66" s="108"/>
      <c r="G66" s="109"/>
      <c r="H66" s="401"/>
      <c r="I66" s="401"/>
      <c r="J66" s="110"/>
      <c r="K66" s="34"/>
      <c r="L66" s="34"/>
      <c r="M66" s="34"/>
      <c r="N66" s="34"/>
      <c r="O66" s="34"/>
      <c r="P66" s="34"/>
      <c r="Q66" s="34"/>
      <c r="R66" s="34"/>
      <c r="S66" s="34"/>
      <c r="T66" s="34"/>
      <c r="U66" s="34"/>
      <c r="V66" s="34"/>
      <c r="W66" s="34"/>
      <c r="X66" s="34"/>
      <c r="Y66" s="34"/>
      <c r="Z66" s="34"/>
      <c r="AA66" s="34"/>
    </row>
    <row r="67" spans="1:35" x14ac:dyDescent="0.25">
      <c r="A67" s="2">
        <v>33</v>
      </c>
      <c r="B67" s="435"/>
      <c r="C67" s="436"/>
      <c r="D67" s="106"/>
      <c r="E67" s="107"/>
      <c r="F67" s="108"/>
      <c r="G67" s="109"/>
      <c r="H67" s="401"/>
      <c r="I67" s="401"/>
      <c r="J67" s="110"/>
      <c r="K67" s="43"/>
      <c r="L67" s="43"/>
      <c r="M67" s="43"/>
      <c r="N67" s="43"/>
      <c r="O67" s="43"/>
      <c r="P67" s="43"/>
      <c r="Q67" s="43"/>
      <c r="R67" s="43"/>
      <c r="S67" s="43"/>
      <c r="T67" s="43"/>
      <c r="U67" s="43"/>
      <c r="V67" s="43"/>
      <c r="W67" s="43"/>
      <c r="X67" s="43"/>
      <c r="Y67" s="43"/>
      <c r="Z67" s="43"/>
      <c r="AA67" s="43"/>
    </row>
    <row r="68" spans="1:35" x14ac:dyDescent="0.25">
      <c r="A68" s="2">
        <v>34</v>
      </c>
      <c r="B68" s="435"/>
      <c r="C68" s="436"/>
      <c r="D68" s="106"/>
      <c r="E68" s="107"/>
      <c r="F68" s="108"/>
      <c r="G68" s="109"/>
      <c r="H68" s="401"/>
      <c r="I68" s="401"/>
      <c r="J68" s="110"/>
      <c r="K68" s="34"/>
      <c r="L68" s="34"/>
      <c r="M68" s="34"/>
      <c r="N68" s="34"/>
      <c r="O68" s="34"/>
      <c r="P68" s="34"/>
      <c r="Q68" s="34"/>
      <c r="R68" s="34"/>
      <c r="S68" s="34"/>
      <c r="T68" s="34"/>
      <c r="U68" s="34"/>
      <c r="V68" s="34"/>
      <c r="W68" s="34"/>
      <c r="X68" s="34"/>
      <c r="Y68" s="34"/>
      <c r="Z68" s="34"/>
      <c r="AA68" s="34"/>
    </row>
    <row r="69" spans="1:35" s="35" customFormat="1" x14ac:dyDescent="0.25">
      <c r="A69" s="48">
        <v>35</v>
      </c>
      <c r="B69" s="435"/>
      <c r="C69" s="436"/>
      <c r="D69" s="106"/>
      <c r="E69" s="107"/>
      <c r="F69" s="108"/>
      <c r="G69" s="112"/>
      <c r="H69" s="401"/>
      <c r="I69" s="401"/>
      <c r="J69" s="110"/>
      <c r="K69" s="34"/>
      <c r="L69" s="34"/>
      <c r="M69" s="34"/>
      <c r="N69" s="34"/>
      <c r="O69" s="34"/>
      <c r="P69" s="34"/>
      <c r="Q69" s="34"/>
      <c r="R69" s="34"/>
      <c r="S69" s="34"/>
      <c r="T69" s="34"/>
      <c r="U69" s="34"/>
      <c r="V69" s="34"/>
      <c r="W69" s="34"/>
      <c r="X69" s="34"/>
      <c r="Y69" s="34"/>
      <c r="Z69" s="34"/>
      <c r="AA69" s="34"/>
    </row>
    <row r="70" spans="1:35" s="35" customFormat="1" x14ac:dyDescent="0.25">
      <c r="A70" s="48">
        <v>36</v>
      </c>
      <c r="B70" s="435"/>
      <c r="C70" s="436"/>
      <c r="D70" s="106"/>
      <c r="E70" s="107"/>
      <c r="F70" s="108"/>
      <c r="G70" s="112"/>
      <c r="H70" s="401"/>
      <c r="I70" s="401"/>
      <c r="J70" s="110"/>
      <c r="K70" s="47"/>
      <c r="L70" s="47"/>
      <c r="M70" s="47"/>
      <c r="N70" s="47"/>
      <c r="O70" s="47"/>
      <c r="P70" s="47"/>
      <c r="Q70" s="47"/>
      <c r="R70" s="47"/>
      <c r="S70" s="47"/>
      <c r="T70" s="47"/>
      <c r="U70" s="47"/>
      <c r="V70" s="47"/>
      <c r="W70" s="47"/>
      <c r="X70" s="47"/>
      <c r="Y70" s="47"/>
      <c r="Z70" s="47"/>
      <c r="AA70" s="47"/>
    </row>
    <row r="71" spans="1:35" s="49" customFormat="1" x14ac:dyDescent="0.25">
      <c r="A71" s="48">
        <v>37</v>
      </c>
      <c r="B71" s="435"/>
      <c r="C71" s="436"/>
      <c r="D71" s="106"/>
      <c r="E71" s="107"/>
      <c r="F71" s="108"/>
      <c r="G71" s="111"/>
      <c r="H71" s="401"/>
      <c r="I71" s="401"/>
      <c r="J71" s="110"/>
      <c r="K71" s="23"/>
      <c r="L71" s="23"/>
      <c r="M71" s="23"/>
      <c r="N71" s="23"/>
      <c r="O71" s="23"/>
      <c r="P71" s="23"/>
      <c r="Q71" s="23"/>
      <c r="R71" s="23"/>
      <c r="S71" s="23"/>
      <c r="T71" s="23"/>
      <c r="U71" s="23"/>
      <c r="V71" s="23"/>
      <c r="W71" s="23"/>
      <c r="X71" s="23"/>
      <c r="Y71" s="23"/>
      <c r="Z71" s="23"/>
      <c r="AA71" s="23"/>
      <c r="AC71" s="35"/>
      <c r="AD71" s="35"/>
      <c r="AE71" s="35"/>
      <c r="AF71" s="35"/>
      <c r="AG71" s="35"/>
      <c r="AH71" s="35"/>
      <c r="AI71" s="35"/>
    </row>
    <row r="72" spans="1:35" s="49" customFormat="1" x14ac:dyDescent="0.25">
      <c r="A72" s="2">
        <v>38</v>
      </c>
      <c r="B72" s="435"/>
      <c r="C72" s="436"/>
      <c r="D72" s="106"/>
      <c r="E72" s="107"/>
      <c r="F72" s="108"/>
      <c r="G72" s="111"/>
      <c r="H72" s="401"/>
      <c r="I72" s="401"/>
      <c r="J72" s="110"/>
      <c r="K72" s="23"/>
      <c r="L72" s="23"/>
      <c r="M72" s="23"/>
      <c r="N72" s="23"/>
      <c r="O72" s="23"/>
      <c r="P72" s="23"/>
      <c r="Q72" s="23"/>
      <c r="R72" s="23"/>
      <c r="S72" s="23"/>
      <c r="T72" s="23"/>
      <c r="U72" s="23"/>
      <c r="V72" s="23"/>
      <c r="W72" s="23"/>
      <c r="X72" s="23"/>
      <c r="Y72" s="23"/>
      <c r="Z72" s="23"/>
      <c r="AA72" s="23"/>
      <c r="AC72" s="35"/>
      <c r="AD72" s="35"/>
      <c r="AE72" s="35"/>
      <c r="AF72" s="35"/>
      <c r="AG72" s="35"/>
      <c r="AH72" s="35"/>
      <c r="AI72" s="35"/>
    </row>
    <row r="73" spans="1:35" s="49" customFormat="1" x14ac:dyDescent="0.25">
      <c r="A73" s="2">
        <v>39</v>
      </c>
      <c r="B73" s="435"/>
      <c r="C73" s="436"/>
      <c r="D73" s="106"/>
      <c r="E73" s="107"/>
      <c r="F73" s="108"/>
      <c r="G73" s="111"/>
      <c r="H73" s="401"/>
      <c r="I73" s="401"/>
      <c r="J73" s="110"/>
      <c r="K73" s="23"/>
      <c r="L73" s="23"/>
      <c r="M73" s="23"/>
      <c r="N73" s="23"/>
      <c r="O73" s="23"/>
      <c r="P73" s="23"/>
      <c r="Q73" s="23"/>
      <c r="R73" s="23"/>
      <c r="S73" s="23"/>
      <c r="T73" s="23"/>
      <c r="U73" s="23"/>
      <c r="V73" s="23"/>
      <c r="W73" s="23"/>
      <c r="X73" s="23"/>
      <c r="Y73" s="23"/>
      <c r="Z73" s="23"/>
      <c r="AA73" s="23"/>
      <c r="AC73" s="35"/>
      <c r="AD73" s="35"/>
      <c r="AE73" s="35"/>
      <c r="AF73" s="35"/>
      <c r="AG73" s="35"/>
      <c r="AH73" s="35"/>
      <c r="AI73" s="35"/>
    </row>
    <row r="74" spans="1:35" s="49" customFormat="1" x14ac:dyDescent="0.25">
      <c r="A74" s="2">
        <v>40</v>
      </c>
      <c r="B74" s="435"/>
      <c r="C74" s="436"/>
      <c r="D74" s="106"/>
      <c r="E74" s="107"/>
      <c r="F74" s="108"/>
      <c r="G74" s="111"/>
      <c r="H74" s="401"/>
      <c r="I74" s="401"/>
      <c r="J74" s="110"/>
      <c r="K74" s="23"/>
      <c r="L74" s="23"/>
      <c r="M74" s="23"/>
      <c r="N74" s="23"/>
      <c r="O74" s="23"/>
      <c r="P74" s="23"/>
      <c r="Q74" s="23"/>
      <c r="R74" s="23"/>
      <c r="S74" s="23"/>
      <c r="T74" s="23"/>
      <c r="U74" s="23"/>
      <c r="V74" s="23"/>
      <c r="W74" s="23"/>
      <c r="X74" s="23"/>
      <c r="Y74" s="23"/>
      <c r="Z74" s="23"/>
      <c r="AA74" s="23"/>
      <c r="AC74" s="35"/>
      <c r="AD74" s="35"/>
      <c r="AE74" s="35"/>
      <c r="AF74" s="35"/>
      <c r="AG74" s="35"/>
      <c r="AH74" s="35"/>
      <c r="AI74" s="35"/>
    </row>
    <row r="75" spans="1:35" s="49" customFormat="1" x14ac:dyDescent="0.25">
      <c r="A75" s="2">
        <v>41</v>
      </c>
      <c r="B75" s="435"/>
      <c r="C75" s="436"/>
      <c r="D75" s="106"/>
      <c r="E75" s="107"/>
      <c r="F75" s="108"/>
      <c r="G75" s="111"/>
      <c r="H75" s="401"/>
      <c r="I75" s="401"/>
      <c r="J75" s="110"/>
      <c r="K75" s="23"/>
      <c r="L75" s="23"/>
      <c r="M75" s="23"/>
      <c r="N75" s="23"/>
      <c r="O75" s="23"/>
      <c r="P75" s="23"/>
      <c r="Q75" s="23"/>
      <c r="R75" s="23"/>
      <c r="S75" s="23"/>
      <c r="T75" s="23"/>
      <c r="U75" s="23"/>
      <c r="V75" s="23"/>
      <c r="W75" s="23"/>
      <c r="X75" s="23"/>
      <c r="Y75" s="23"/>
      <c r="Z75" s="23"/>
      <c r="AA75" s="23"/>
      <c r="AC75" s="35"/>
      <c r="AD75" s="35"/>
      <c r="AE75" s="35"/>
      <c r="AF75" s="35"/>
      <c r="AG75" s="35"/>
      <c r="AH75" s="35"/>
      <c r="AI75" s="35"/>
    </row>
    <row r="76" spans="1:35" s="49" customFormat="1" x14ac:dyDescent="0.25">
      <c r="A76" s="2">
        <v>42</v>
      </c>
      <c r="B76" s="435"/>
      <c r="C76" s="436"/>
      <c r="D76" s="106"/>
      <c r="E76" s="107"/>
      <c r="F76" s="108"/>
      <c r="G76" s="111"/>
      <c r="H76" s="401"/>
      <c r="I76" s="401"/>
      <c r="J76" s="110"/>
      <c r="K76" s="23"/>
      <c r="L76" s="23"/>
      <c r="M76" s="23"/>
      <c r="N76" s="23"/>
      <c r="O76" s="23"/>
      <c r="P76" s="23"/>
      <c r="Q76" s="23"/>
      <c r="R76" s="23"/>
      <c r="S76" s="23"/>
      <c r="T76" s="23"/>
      <c r="U76" s="23"/>
      <c r="V76" s="23"/>
      <c r="W76" s="23"/>
      <c r="X76" s="23"/>
      <c r="Y76" s="23"/>
      <c r="Z76" s="23"/>
      <c r="AA76" s="23"/>
      <c r="AC76" s="35"/>
      <c r="AD76" s="35"/>
      <c r="AE76" s="35"/>
      <c r="AF76" s="35"/>
      <c r="AG76" s="35"/>
      <c r="AH76" s="35"/>
      <c r="AI76" s="35"/>
    </row>
    <row r="77" spans="1:35" s="49" customFormat="1" x14ac:dyDescent="0.25">
      <c r="A77" s="2">
        <v>43</v>
      </c>
      <c r="B77" s="435"/>
      <c r="C77" s="436"/>
      <c r="D77" s="106"/>
      <c r="E77" s="107"/>
      <c r="F77" s="108"/>
      <c r="G77" s="111"/>
      <c r="H77" s="401"/>
      <c r="I77" s="401"/>
      <c r="J77" s="110"/>
      <c r="K77" s="23"/>
      <c r="L77" s="23"/>
      <c r="M77" s="23"/>
      <c r="N77" s="23"/>
      <c r="O77" s="23"/>
      <c r="P77" s="23"/>
      <c r="Q77" s="23"/>
      <c r="R77" s="23"/>
      <c r="S77" s="23"/>
      <c r="T77" s="23"/>
      <c r="U77" s="23"/>
      <c r="V77" s="23"/>
      <c r="W77" s="23"/>
      <c r="X77" s="23"/>
      <c r="Y77" s="23"/>
      <c r="Z77" s="23"/>
      <c r="AA77" s="23"/>
      <c r="AC77" s="35"/>
      <c r="AD77" s="35"/>
      <c r="AE77" s="35"/>
      <c r="AF77" s="35"/>
      <c r="AG77" s="35"/>
      <c r="AH77" s="35"/>
      <c r="AI77" s="35"/>
    </row>
    <row r="78" spans="1:35" s="49" customFormat="1" x14ac:dyDescent="0.25">
      <c r="A78" s="2">
        <v>44</v>
      </c>
      <c r="B78" s="435"/>
      <c r="C78" s="436"/>
      <c r="D78" s="106"/>
      <c r="E78" s="107"/>
      <c r="F78" s="108"/>
      <c r="G78" s="111"/>
      <c r="H78" s="401"/>
      <c r="I78" s="401"/>
      <c r="J78" s="110"/>
      <c r="K78" s="23"/>
      <c r="L78" s="23"/>
      <c r="M78" s="23"/>
      <c r="N78" s="23"/>
      <c r="O78" s="23"/>
      <c r="P78" s="23"/>
      <c r="Q78" s="23"/>
      <c r="R78" s="23"/>
      <c r="S78" s="23"/>
      <c r="T78" s="23"/>
      <c r="U78" s="23"/>
      <c r="V78" s="23"/>
      <c r="W78" s="23"/>
      <c r="X78" s="23"/>
      <c r="Y78" s="23"/>
      <c r="Z78" s="23"/>
      <c r="AA78" s="23"/>
      <c r="AC78" s="35"/>
      <c r="AD78" s="35"/>
      <c r="AE78" s="35"/>
      <c r="AF78" s="35"/>
      <c r="AG78" s="35"/>
      <c r="AH78" s="35"/>
      <c r="AI78" s="35"/>
    </row>
    <row r="79" spans="1:35" s="49" customFormat="1" x14ac:dyDescent="0.25">
      <c r="A79" s="2">
        <v>45</v>
      </c>
      <c r="B79" s="435"/>
      <c r="C79" s="436"/>
      <c r="D79" s="106"/>
      <c r="E79" s="107"/>
      <c r="F79" s="108"/>
      <c r="G79" s="111"/>
      <c r="H79" s="401"/>
      <c r="I79" s="401"/>
      <c r="J79" s="110"/>
      <c r="K79" s="23"/>
      <c r="L79" s="23"/>
      <c r="M79" s="23"/>
      <c r="N79" s="23"/>
      <c r="O79" s="23"/>
      <c r="P79" s="23"/>
      <c r="Q79" s="23"/>
      <c r="R79" s="23"/>
      <c r="S79" s="23"/>
      <c r="T79" s="23"/>
      <c r="U79" s="23"/>
      <c r="V79" s="23"/>
      <c r="W79" s="23"/>
      <c r="X79" s="23"/>
      <c r="Y79" s="23"/>
      <c r="Z79" s="23"/>
      <c r="AA79" s="23"/>
      <c r="AC79" s="35"/>
      <c r="AD79" s="35"/>
      <c r="AE79" s="35"/>
      <c r="AF79" s="35"/>
      <c r="AG79" s="35"/>
      <c r="AH79" s="35"/>
      <c r="AI79" s="35"/>
    </row>
    <row r="80" spans="1:35" s="49" customFormat="1" x14ac:dyDescent="0.25">
      <c r="A80" s="2">
        <v>46</v>
      </c>
      <c r="B80" s="435"/>
      <c r="C80" s="436"/>
      <c r="D80" s="106"/>
      <c r="E80" s="107"/>
      <c r="F80" s="108"/>
      <c r="G80" s="111"/>
      <c r="H80" s="401"/>
      <c r="I80" s="401"/>
      <c r="J80" s="110"/>
      <c r="K80" s="23"/>
      <c r="L80" s="23"/>
      <c r="M80" s="23"/>
      <c r="N80" s="23"/>
      <c r="O80" s="23"/>
      <c r="P80" s="23"/>
      <c r="Q80" s="23"/>
      <c r="R80" s="23"/>
      <c r="S80" s="23"/>
      <c r="T80" s="23"/>
      <c r="U80" s="23"/>
      <c r="V80" s="23"/>
      <c r="W80" s="23"/>
      <c r="X80" s="23"/>
      <c r="Y80" s="23"/>
      <c r="Z80" s="23"/>
      <c r="AA80" s="23"/>
      <c r="AC80" s="35"/>
      <c r="AD80" s="35"/>
      <c r="AE80" s="35"/>
      <c r="AF80" s="35"/>
      <c r="AG80" s="35"/>
      <c r="AH80" s="35"/>
      <c r="AI80" s="35"/>
    </row>
    <row r="81" spans="1:35" s="49" customFormat="1" x14ac:dyDescent="0.25">
      <c r="A81" s="2">
        <v>47</v>
      </c>
      <c r="B81" s="435"/>
      <c r="C81" s="436"/>
      <c r="D81" s="106"/>
      <c r="E81" s="107"/>
      <c r="F81" s="108"/>
      <c r="G81" s="111"/>
      <c r="H81" s="401"/>
      <c r="I81" s="401"/>
      <c r="J81" s="110"/>
      <c r="K81" s="23"/>
      <c r="L81" s="23"/>
      <c r="M81" s="23"/>
      <c r="N81" s="23"/>
      <c r="O81" s="23"/>
      <c r="P81" s="23"/>
      <c r="Q81" s="23"/>
      <c r="R81" s="23"/>
      <c r="S81" s="23"/>
      <c r="T81" s="23"/>
      <c r="U81" s="23"/>
      <c r="V81" s="23"/>
      <c r="W81" s="23"/>
      <c r="X81" s="23"/>
      <c r="Y81" s="23"/>
      <c r="Z81" s="23"/>
      <c r="AA81" s="23"/>
      <c r="AC81" s="35"/>
      <c r="AD81" s="35"/>
      <c r="AE81" s="35"/>
      <c r="AF81" s="35"/>
      <c r="AG81" s="35"/>
      <c r="AH81" s="35"/>
      <c r="AI81" s="35"/>
    </row>
    <row r="82" spans="1:35" s="49" customFormat="1" x14ac:dyDescent="0.25">
      <c r="A82" s="2">
        <v>48</v>
      </c>
      <c r="B82" s="435"/>
      <c r="C82" s="436"/>
      <c r="D82" s="106"/>
      <c r="E82" s="107"/>
      <c r="F82" s="108"/>
      <c r="G82" s="111"/>
      <c r="H82" s="401"/>
      <c r="I82" s="401"/>
      <c r="J82" s="110"/>
      <c r="K82" s="23"/>
      <c r="L82" s="23"/>
      <c r="M82" s="23"/>
      <c r="N82" s="23"/>
      <c r="O82" s="23"/>
      <c r="P82" s="23"/>
      <c r="Q82" s="23"/>
      <c r="R82" s="23"/>
      <c r="S82" s="23"/>
      <c r="T82" s="23"/>
      <c r="U82" s="23"/>
      <c r="V82" s="23"/>
      <c r="W82" s="23"/>
      <c r="X82" s="23"/>
      <c r="Y82" s="23"/>
      <c r="Z82" s="23"/>
      <c r="AA82" s="23"/>
      <c r="AC82" s="35"/>
      <c r="AD82" s="35"/>
      <c r="AE82" s="35"/>
      <c r="AF82" s="35"/>
      <c r="AG82" s="35"/>
      <c r="AH82" s="35"/>
      <c r="AI82" s="35"/>
    </row>
    <row r="83" spans="1:35" s="49" customFormat="1" x14ac:dyDescent="0.25">
      <c r="A83" s="48">
        <v>49</v>
      </c>
      <c r="B83" s="435"/>
      <c r="C83" s="436"/>
      <c r="D83" s="106"/>
      <c r="E83" s="107"/>
      <c r="F83" s="108"/>
      <c r="G83" s="111"/>
      <c r="H83" s="401"/>
      <c r="I83" s="401"/>
      <c r="J83" s="110"/>
      <c r="K83" s="23"/>
      <c r="L83" s="23"/>
      <c r="M83" s="23"/>
      <c r="N83" s="23"/>
      <c r="O83" s="23"/>
      <c r="P83" s="23"/>
      <c r="Q83" s="23"/>
      <c r="R83" s="23"/>
      <c r="S83" s="23"/>
      <c r="T83" s="23"/>
      <c r="U83" s="23"/>
      <c r="V83" s="23"/>
      <c r="W83" s="23"/>
      <c r="X83" s="23"/>
      <c r="Y83" s="23"/>
      <c r="Z83" s="23"/>
      <c r="AA83" s="23"/>
      <c r="AC83" s="35"/>
      <c r="AD83" s="35"/>
      <c r="AE83" s="35"/>
      <c r="AF83" s="35"/>
      <c r="AG83" s="35"/>
      <c r="AH83" s="35"/>
      <c r="AI83" s="35"/>
    </row>
    <row r="84" spans="1:35" s="49" customFormat="1" x14ac:dyDescent="0.25">
      <c r="A84" s="48">
        <v>50</v>
      </c>
      <c r="B84" s="435"/>
      <c r="C84" s="436"/>
      <c r="D84" s="106"/>
      <c r="E84" s="107"/>
      <c r="F84" s="108"/>
      <c r="G84" s="111"/>
      <c r="H84" s="401"/>
      <c r="I84" s="401"/>
      <c r="J84" s="110"/>
      <c r="K84" s="23"/>
      <c r="L84" s="23"/>
      <c r="M84" s="23"/>
      <c r="N84" s="23"/>
      <c r="O84" s="23"/>
      <c r="P84" s="23"/>
      <c r="Q84" s="23"/>
      <c r="R84" s="23"/>
      <c r="S84" s="23"/>
      <c r="T84" s="23"/>
      <c r="U84" s="23"/>
      <c r="V84" s="23"/>
      <c r="W84" s="23"/>
      <c r="X84" s="23"/>
      <c r="Y84" s="23"/>
      <c r="Z84" s="23"/>
      <c r="AA84" s="23"/>
      <c r="AC84" s="35"/>
      <c r="AD84" s="35"/>
      <c r="AE84" s="35"/>
      <c r="AF84" s="35"/>
      <c r="AG84" s="35"/>
      <c r="AH84" s="35"/>
      <c r="AI84" s="35"/>
    </row>
    <row r="85" spans="1:35" s="49" customFormat="1" x14ac:dyDescent="0.25">
      <c r="A85" s="2">
        <v>51</v>
      </c>
      <c r="B85" s="435"/>
      <c r="C85" s="436"/>
      <c r="D85" s="106"/>
      <c r="E85" s="107"/>
      <c r="F85" s="108"/>
      <c r="G85" s="111"/>
      <c r="H85" s="401"/>
      <c r="I85" s="401"/>
      <c r="J85" s="110"/>
      <c r="K85" s="23"/>
      <c r="L85" s="23"/>
      <c r="M85" s="23"/>
      <c r="N85" s="23"/>
      <c r="O85" s="23"/>
      <c r="P85" s="23"/>
      <c r="Q85" s="23"/>
      <c r="R85" s="23"/>
      <c r="S85" s="23"/>
      <c r="T85" s="23"/>
      <c r="U85" s="23"/>
      <c r="V85" s="23"/>
      <c r="W85" s="23"/>
      <c r="X85" s="23"/>
      <c r="Y85" s="23"/>
      <c r="Z85" s="23"/>
      <c r="AA85" s="23"/>
      <c r="AC85" s="35"/>
      <c r="AD85" s="35"/>
      <c r="AE85" s="35"/>
      <c r="AF85" s="35"/>
      <c r="AG85" s="35"/>
      <c r="AH85" s="35"/>
      <c r="AI85" s="35"/>
    </row>
    <row r="86" spans="1:35" s="49" customFormat="1" x14ac:dyDescent="0.25">
      <c r="A86" s="48">
        <v>52</v>
      </c>
      <c r="B86" s="435"/>
      <c r="C86" s="436"/>
      <c r="D86" s="106"/>
      <c r="E86" s="107"/>
      <c r="F86" s="108"/>
      <c r="G86" s="111"/>
      <c r="H86" s="401"/>
      <c r="I86" s="401"/>
      <c r="J86" s="110"/>
      <c r="K86" s="23"/>
      <c r="L86" s="23"/>
      <c r="M86" s="23"/>
      <c r="N86" s="23"/>
      <c r="O86" s="23"/>
      <c r="P86" s="23"/>
      <c r="Q86" s="23"/>
      <c r="R86" s="23"/>
      <c r="S86" s="23"/>
      <c r="T86" s="23"/>
      <c r="U86" s="23"/>
      <c r="V86" s="23"/>
      <c r="W86" s="23"/>
      <c r="X86" s="23"/>
      <c r="Y86" s="23"/>
      <c r="Z86" s="23"/>
      <c r="AA86" s="23"/>
      <c r="AC86" s="35"/>
      <c r="AD86" s="35"/>
      <c r="AE86" s="35"/>
      <c r="AF86" s="35"/>
      <c r="AG86" s="35"/>
      <c r="AH86" s="35"/>
      <c r="AI86" s="35"/>
    </row>
    <row r="87" spans="1:35" s="49" customFormat="1" x14ac:dyDescent="0.25">
      <c r="A87" s="48">
        <v>53</v>
      </c>
      <c r="B87" s="435"/>
      <c r="C87" s="436"/>
      <c r="D87" s="106"/>
      <c r="E87" s="107"/>
      <c r="F87" s="108"/>
      <c r="G87" s="111"/>
      <c r="H87" s="401"/>
      <c r="I87" s="401"/>
      <c r="J87" s="110"/>
      <c r="K87" s="23"/>
      <c r="L87" s="23"/>
      <c r="M87" s="23"/>
      <c r="N87" s="23"/>
      <c r="O87" s="23"/>
      <c r="P87" s="23"/>
      <c r="Q87" s="23"/>
      <c r="R87" s="23"/>
      <c r="S87" s="23"/>
      <c r="T87" s="23"/>
      <c r="U87" s="23"/>
      <c r="V87" s="23"/>
      <c r="W87" s="23"/>
      <c r="X87" s="23"/>
      <c r="Y87" s="23"/>
      <c r="Z87" s="23"/>
      <c r="AA87" s="23"/>
      <c r="AC87" s="35"/>
      <c r="AD87" s="35"/>
      <c r="AE87" s="35"/>
      <c r="AF87" s="35"/>
      <c r="AG87" s="35"/>
      <c r="AH87" s="35"/>
      <c r="AI87" s="35"/>
    </row>
    <row r="88" spans="1:35" s="49" customFormat="1" x14ac:dyDescent="0.25">
      <c r="A88" s="48">
        <v>54</v>
      </c>
      <c r="B88" s="435"/>
      <c r="C88" s="436"/>
      <c r="D88" s="106"/>
      <c r="E88" s="107"/>
      <c r="F88" s="108"/>
      <c r="G88" s="111"/>
      <c r="H88" s="401"/>
      <c r="I88" s="401"/>
      <c r="J88" s="110"/>
      <c r="K88" s="23"/>
      <c r="L88" s="23"/>
      <c r="M88" s="23"/>
      <c r="N88" s="23"/>
      <c r="O88" s="23"/>
      <c r="P88" s="23"/>
      <c r="Q88" s="23"/>
      <c r="R88" s="23"/>
      <c r="S88" s="23"/>
      <c r="T88" s="23"/>
      <c r="U88" s="23"/>
      <c r="V88" s="23"/>
      <c r="W88" s="23"/>
      <c r="X88" s="23"/>
      <c r="Y88" s="23"/>
      <c r="Z88" s="23"/>
      <c r="AA88" s="23"/>
      <c r="AC88" s="35"/>
      <c r="AD88" s="35"/>
      <c r="AE88" s="35"/>
      <c r="AF88" s="35"/>
      <c r="AG88" s="35"/>
      <c r="AH88" s="35"/>
      <c r="AI88" s="35"/>
    </row>
    <row r="89" spans="1:35" s="49" customFormat="1" x14ac:dyDescent="0.25">
      <c r="A89" s="2">
        <v>55</v>
      </c>
      <c r="B89" s="435"/>
      <c r="C89" s="436"/>
      <c r="D89" s="106"/>
      <c r="E89" s="107"/>
      <c r="F89" s="108"/>
      <c r="G89" s="111"/>
      <c r="H89" s="401"/>
      <c r="I89" s="401"/>
      <c r="J89" s="110"/>
      <c r="K89" s="23"/>
      <c r="L89" s="23"/>
      <c r="M89" s="23"/>
      <c r="N89" s="23"/>
      <c r="O89" s="23"/>
      <c r="P89" s="23"/>
      <c r="Q89" s="23"/>
      <c r="R89" s="23"/>
      <c r="S89" s="23"/>
      <c r="T89" s="23"/>
      <c r="U89" s="23"/>
      <c r="V89" s="23"/>
      <c r="W89" s="23"/>
      <c r="X89" s="23"/>
      <c r="Y89" s="23"/>
      <c r="Z89" s="23"/>
      <c r="AA89" s="23"/>
      <c r="AC89" s="35"/>
      <c r="AD89" s="35"/>
      <c r="AE89" s="35"/>
      <c r="AF89" s="35"/>
      <c r="AG89" s="35"/>
      <c r="AH89" s="35"/>
      <c r="AI89" s="35"/>
    </row>
    <row r="90" spans="1:35" s="49" customFormat="1" x14ac:dyDescent="0.25">
      <c r="A90" s="2">
        <v>56</v>
      </c>
      <c r="B90" s="435"/>
      <c r="C90" s="436"/>
      <c r="D90" s="106"/>
      <c r="E90" s="107"/>
      <c r="F90" s="108"/>
      <c r="G90" s="111"/>
      <c r="H90" s="401"/>
      <c r="I90" s="401"/>
      <c r="J90" s="110"/>
      <c r="K90" s="23"/>
      <c r="L90" s="23"/>
      <c r="M90" s="23"/>
      <c r="N90" s="23"/>
      <c r="O90" s="23"/>
      <c r="P90" s="23"/>
      <c r="Q90" s="23"/>
      <c r="R90" s="23"/>
      <c r="S90" s="23"/>
      <c r="T90" s="23"/>
      <c r="U90" s="23"/>
      <c r="V90" s="23"/>
      <c r="W90" s="23"/>
      <c r="X90" s="23"/>
      <c r="Y90" s="23"/>
      <c r="Z90" s="23"/>
      <c r="AA90" s="23"/>
      <c r="AC90" s="35"/>
      <c r="AD90" s="35"/>
      <c r="AE90" s="35"/>
      <c r="AF90" s="35"/>
      <c r="AG90" s="35"/>
      <c r="AH90" s="35"/>
      <c r="AI90" s="35"/>
    </row>
    <row r="91" spans="1:35" s="49" customFormat="1" x14ac:dyDescent="0.25">
      <c r="A91" s="2">
        <v>57</v>
      </c>
      <c r="B91" s="435"/>
      <c r="C91" s="436"/>
      <c r="D91" s="106"/>
      <c r="E91" s="107"/>
      <c r="F91" s="108"/>
      <c r="G91" s="111"/>
      <c r="H91" s="401"/>
      <c r="I91" s="401"/>
      <c r="J91" s="110"/>
      <c r="K91" s="23"/>
      <c r="L91" s="23"/>
      <c r="M91" s="23"/>
      <c r="N91" s="23"/>
      <c r="O91" s="23"/>
      <c r="P91" s="23"/>
      <c r="Q91" s="23"/>
      <c r="R91" s="23"/>
      <c r="S91" s="23"/>
      <c r="T91" s="23"/>
      <c r="U91" s="23"/>
      <c r="V91" s="23"/>
      <c r="W91" s="23"/>
      <c r="X91" s="23"/>
      <c r="Y91" s="23"/>
      <c r="Z91" s="23"/>
      <c r="AA91" s="23"/>
      <c r="AC91" s="35"/>
      <c r="AD91" s="35"/>
      <c r="AE91" s="35"/>
      <c r="AF91" s="35"/>
      <c r="AG91" s="35"/>
      <c r="AH91" s="35"/>
      <c r="AI91" s="35"/>
    </row>
    <row r="92" spans="1:35" s="49" customFormat="1" x14ac:dyDescent="0.25">
      <c r="A92" s="2">
        <v>58</v>
      </c>
      <c r="B92" s="435"/>
      <c r="C92" s="436"/>
      <c r="D92" s="106"/>
      <c r="E92" s="107"/>
      <c r="F92" s="108"/>
      <c r="G92" s="111"/>
      <c r="H92" s="401"/>
      <c r="I92" s="401"/>
      <c r="J92" s="110"/>
      <c r="K92" s="23"/>
      <c r="L92" s="23"/>
      <c r="M92" s="23"/>
      <c r="N92" s="23"/>
      <c r="O92" s="23"/>
      <c r="P92" s="23"/>
      <c r="Q92" s="23"/>
      <c r="R92" s="23"/>
      <c r="S92" s="23"/>
      <c r="T92" s="23"/>
      <c r="U92" s="23"/>
      <c r="V92" s="23"/>
      <c r="W92" s="23"/>
      <c r="X92" s="23"/>
      <c r="Y92" s="23"/>
      <c r="Z92" s="23"/>
      <c r="AA92" s="23"/>
      <c r="AC92" s="35"/>
      <c r="AD92" s="35"/>
      <c r="AE92" s="35"/>
      <c r="AF92" s="35"/>
      <c r="AG92" s="35"/>
      <c r="AH92" s="35"/>
      <c r="AI92" s="35"/>
    </row>
    <row r="93" spans="1:35" s="49" customFormat="1" x14ac:dyDescent="0.25">
      <c r="A93" s="2">
        <v>59</v>
      </c>
      <c r="B93" s="435"/>
      <c r="C93" s="436"/>
      <c r="D93" s="106"/>
      <c r="E93" s="107"/>
      <c r="F93" s="108"/>
      <c r="G93" s="111"/>
      <c r="H93" s="401"/>
      <c r="I93" s="401"/>
      <c r="J93" s="110"/>
      <c r="K93" s="23"/>
      <c r="L93" s="23"/>
      <c r="M93" s="23"/>
      <c r="N93" s="23"/>
      <c r="O93" s="23"/>
      <c r="P93" s="23"/>
      <c r="Q93" s="23"/>
      <c r="R93" s="23"/>
      <c r="S93" s="23"/>
      <c r="T93" s="23"/>
      <c r="U93" s="23"/>
      <c r="V93" s="23"/>
      <c r="W93" s="23"/>
      <c r="X93" s="23"/>
      <c r="Y93" s="23"/>
      <c r="Z93" s="23"/>
      <c r="AA93" s="23"/>
      <c r="AC93" s="35"/>
      <c r="AD93" s="35"/>
      <c r="AE93" s="35"/>
      <c r="AF93" s="35"/>
      <c r="AG93" s="35"/>
      <c r="AH93" s="35"/>
      <c r="AI93" s="35"/>
    </row>
    <row r="94" spans="1:35" s="49" customFormat="1" x14ac:dyDescent="0.25">
      <c r="A94" s="2">
        <v>60</v>
      </c>
      <c r="B94" s="435"/>
      <c r="C94" s="436"/>
      <c r="D94" s="106"/>
      <c r="E94" s="107"/>
      <c r="F94" s="108"/>
      <c r="G94" s="111"/>
      <c r="H94" s="401"/>
      <c r="I94" s="401"/>
      <c r="J94" s="110"/>
      <c r="K94" s="23"/>
      <c r="L94" s="23"/>
      <c r="M94" s="23"/>
      <c r="N94" s="23"/>
      <c r="O94" s="23"/>
      <c r="P94" s="23"/>
      <c r="Q94" s="23"/>
      <c r="R94" s="23"/>
      <c r="S94" s="23"/>
      <c r="T94" s="23"/>
      <c r="U94" s="23"/>
      <c r="V94" s="23"/>
      <c r="W94" s="23"/>
      <c r="X94" s="23"/>
      <c r="Y94" s="23"/>
      <c r="Z94" s="23"/>
      <c r="AA94" s="23"/>
      <c r="AC94" s="35"/>
      <c r="AD94" s="35"/>
      <c r="AE94" s="35"/>
      <c r="AF94" s="35"/>
      <c r="AG94" s="35"/>
      <c r="AH94" s="35"/>
      <c r="AI94" s="35"/>
    </row>
    <row r="95" spans="1:35" s="49" customFormat="1" x14ac:dyDescent="0.25">
      <c r="A95" s="2">
        <v>61</v>
      </c>
      <c r="B95" s="435"/>
      <c r="C95" s="436"/>
      <c r="D95" s="106"/>
      <c r="E95" s="107"/>
      <c r="F95" s="108"/>
      <c r="G95" s="111"/>
      <c r="H95" s="401"/>
      <c r="I95" s="401"/>
      <c r="J95" s="110"/>
      <c r="K95" s="23"/>
      <c r="L95" s="23"/>
      <c r="M95" s="23"/>
      <c r="N95" s="23"/>
      <c r="O95" s="23"/>
      <c r="P95" s="23"/>
      <c r="Q95" s="23"/>
      <c r="R95" s="23"/>
      <c r="S95" s="23"/>
      <c r="T95" s="23"/>
      <c r="U95" s="23"/>
      <c r="V95" s="23"/>
      <c r="W95" s="23"/>
      <c r="X95" s="23"/>
      <c r="Y95" s="23"/>
      <c r="Z95" s="23"/>
      <c r="AA95" s="23"/>
      <c r="AC95" s="35"/>
      <c r="AD95" s="35"/>
      <c r="AE95" s="35"/>
      <c r="AF95" s="35"/>
      <c r="AG95" s="35"/>
      <c r="AH95" s="35"/>
      <c r="AI95" s="35"/>
    </row>
    <row r="96" spans="1:35" s="49" customFormat="1" x14ac:dyDescent="0.25">
      <c r="A96" s="2">
        <v>62</v>
      </c>
      <c r="B96" s="435"/>
      <c r="C96" s="436"/>
      <c r="D96" s="106"/>
      <c r="E96" s="107"/>
      <c r="F96" s="108"/>
      <c r="G96" s="111"/>
      <c r="H96" s="401"/>
      <c r="I96" s="401"/>
      <c r="J96" s="110"/>
      <c r="K96" s="23"/>
      <c r="L96" s="23"/>
      <c r="M96" s="23"/>
      <c r="N96" s="23"/>
      <c r="O96" s="23"/>
      <c r="P96" s="23"/>
      <c r="Q96" s="23"/>
      <c r="R96" s="23"/>
      <c r="S96" s="23"/>
      <c r="T96" s="23"/>
      <c r="U96" s="23"/>
      <c r="V96" s="23"/>
      <c r="W96" s="23"/>
      <c r="X96" s="23"/>
      <c r="Y96" s="23"/>
      <c r="Z96" s="23"/>
      <c r="AA96" s="23"/>
      <c r="AC96" s="35"/>
      <c r="AD96" s="35"/>
      <c r="AE96" s="35"/>
      <c r="AF96" s="35"/>
      <c r="AG96" s="35"/>
      <c r="AH96" s="35"/>
      <c r="AI96" s="35"/>
    </row>
    <row r="97" spans="1:35" s="49" customFormat="1" x14ac:dyDescent="0.25">
      <c r="A97" s="2">
        <v>63</v>
      </c>
      <c r="B97" s="435"/>
      <c r="C97" s="436"/>
      <c r="D97" s="106"/>
      <c r="E97" s="107"/>
      <c r="F97" s="108"/>
      <c r="G97" s="111"/>
      <c r="H97" s="401"/>
      <c r="I97" s="401"/>
      <c r="J97" s="110"/>
      <c r="K97" s="23"/>
      <c r="L97" s="23"/>
      <c r="M97" s="23"/>
      <c r="N97" s="23"/>
      <c r="O97" s="23"/>
      <c r="P97" s="23"/>
      <c r="Q97" s="23"/>
      <c r="R97" s="23"/>
      <c r="S97" s="23"/>
      <c r="T97" s="23"/>
      <c r="U97" s="23"/>
      <c r="V97" s="23"/>
      <c r="W97" s="23"/>
      <c r="X97" s="23"/>
      <c r="Y97" s="23"/>
      <c r="Z97" s="23"/>
      <c r="AA97" s="23"/>
      <c r="AC97" s="35"/>
      <c r="AD97" s="35"/>
      <c r="AE97" s="35"/>
      <c r="AF97" s="35"/>
      <c r="AG97" s="35"/>
      <c r="AH97" s="35"/>
      <c r="AI97" s="35"/>
    </row>
    <row r="98" spans="1:35" s="49" customFormat="1" x14ac:dyDescent="0.25">
      <c r="A98" s="2">
        <v>64</v>
      </c>
      <c r="B98" s="435"/>
      <c r="C98" s="436"/>
      <c r="D98" s="106"/>
      <c r="E98" s="107"/>
      <c r="F98" s="108"/>
      <c r="G98" s="111"/>
      <c r="H98" s="401"/>
      <c r="I98" s="401"/>
      <c r="J98" s="110"/>
      <c r="K98" s="23"/>
      <c r="L98" s="23"/>
      <c r="M98" s="23"/>
      <c r="N98" s="23"/>
      <c r="O98" s="23"/>
      <c r="P98" s="23"/>
      <c r="Q98" s="23"/>
      <c r="R98" s="23"/>
      <c r="S98" s="23"/>
      <c r="T98" s="23"/>
      <c r="U98" s="23"/>
      <c r="V98" s="23"/>
      <c r="W98" s="23"/>
      <c r="X98" s="23"/>
      <c r="Y98" s="23"/>
      <c r="Z98" s="23"/>
      <c r="AA98" s="23"/>
      <c r="AC98" s="35"/>
      <c r="AD98" s="35"/>
      <c r="AE98" s="35"/>
      <c r="AF98" s="35"/>
      <c r="AG98" s="35"/>
      <c r="AH98" s="35"/>
      <c r="AI98" s="35"/>
    </row>
    <row r="99" spans="1:35" s="49" customFormat="1" x14ac:dyDescent="0.25">
      <c r="A99" s="2">
        <v>65</v>
      </c>
      <c r="B99" s="435"/>
      <c r="C99" s="436"/>
      <c r="D99" s="106"/>
      <c r="E99" s="107"/>
      <c r="F99" s="108"/>
      <c r="G99" s="111"/>
      <c r="H99" s="401"/>
      <c r="I99" s="401"/>
      <c r="J99" s="110"/>
      <c r="K99" s="23"/>
      <c r="L99" s="23"/>
      <c r="M99" s="23"/>
      <c r="N99" s="23"/>
      <c r="O99" s="23"/>
      <c r="P99" s="23"/>
      <c r="Q99" s="23"/>
      <c r="R99" s="23"/>
      <c r="S99" s="23"/>
      <c r="T99" s="23"/>
      <c r="U99" s="23"/>
      <c r="V99" s="23"/>
      <c r="W99" s="23"/>
      <c r="X99" s="23"/>
      <c r="Y99" s="23"/>
      <c r="Z99" s="23"/>
      <c r="AA99" s="23"/>
      <c r="AC99" s="35"/>
      <c r="AD99" s="35"/>
      <c r="AE99" s="35"/>
      <c r="AF99" s="35"/>
      <c r="AG99" s="35"/>
      <c r="AH99" s="35"/>
      <c r="AI99" s="35"/>
    </row>
    <row r="100" spans="1:35" s="49" customFormat="1" x14ac:dyDescent="0.25">
      <c r="A100" s="48">
        <v>66</v>
      </c>
      <c r="B100" s="435"/>
      <c r="C100" s="436"/>
      <c r="D100" s="106"/>
      <c r="E100" s="107"/>
      <c r="F100" s="108"/>
      <c r="G100" s="111"/>
      <c r="H100" s="401"/>
      <c r="I100" s="401"/>
      <c r="J100" s="110"/>
      <c r="K100" s="23"/>
      <c r="L100" s="23"/>
      <c r="M100" s="23"/>
      <c r="N100" s="23"/>
      <c r="O100" s="23"/>
      <c r="P100" s="23"/>
      <c r="Q100" s="23"/>
      <c r="R100" s="23"/>
      <c r="S100" s="23"/>
      <c r="T100" s="23"/>
      <c r="U100" s="23"/>
      <c r="V100" s="23"/>
      <c r="W100" s="23"/>
      <c r="X100" s="23"/>
      <c r="Y100" s="23"/>
      <c r="Z100" s="23"/>
      <c r="AA100" s="23"/>
      <c r="AC100" s="35"/>
      <c r="AD100" s="35"/>
      <c r="AE100" s="35"/>
      <c r="AF100" s="35"/>
      <c r="AG100" s="35"/>
      <c r="AH100" s="35"/>
      <c r="AI100" s="35"/>
    </row>
    <row r="101" spans="1:35" s="49" customFormat="1" x14ac:dyDescent="0.25">
      <c r="A101" s="48">
        <v>67</v>
      </c>
      <c r="B101" s="435"/>
      <c r="C101" s="436"/>
      <c r="D101" s="106"/>
      <c r="E101" s="107"/>
      <c r="F101" s="108"/>
      <c r="G101" s="111"/>
      <c r="H101" s="401"/>
      <c r="I101" s="401"/>
      <c r="J101" s="110"/>
      <c r="K101" s="23"/>
      <c r="L101" s="23"/>
      <c r="M101" s="23"/>
      <c r="N101" s="23"/>
      <c r="O101" s="23"/>
      <c r="P101" s="23"/>
      <c r="Q101" s="23"/>
      <c r="R101" s="23"/>
      <c r="S101" s="23"/>
      <c r="T101" s="23"/>
      <c r="U101" s="23"/>
      <c r="V101" s="23"/>
      <c r="W101" s="23"/>
      <c r="X101" s="23"/>
      <c r="Y101" s="23"/>
      <c r="Z101" s="23"/>
      <c r="AA101" s="23"/>
      <c r="AC101" s="35"/>
      <c r="AD101" s="35"/>
      <c r="AE101" s="35"/>
      <c r="AF101" s="35"/>
      <c r="AG101" s="35"/>
      <c r="AH101" s="35"/>
      <c r="AI101" s="35"/>
    </row>
    <row r="102" spans="1:35" s="49" customFormat="1" x14ac:dyDescent="0.25">
      <c r="A102" s="2">
        <v>68</v>
      </c>
      <c r="B102" s="435"/>
      <c r="C102" s="436"/>
      <c r="D102" s="106"/>
      <c r="E102" s="107"/>
      <c r="F102" s="108"/>
      <c r="G102" s="111"/>
      <c r="H102" s="401"/>
      <c r="I102" s="401"/>
      <c r="J102" s="110"/>
      <c r="K102" s="23"/>
      <c r="L102" s="23"/>
      <c r="M102" s="23"/>
      <c r="N102" s="23"/>
      <c r="O102" s="23"/>
      <c r="P102" s="23"/>
      <c r="Q102" s="23"/>
      <c r="R102" s="23"/>
      <c r="S102" s="23"/>
      <c r="T102" s="23"/>
      <c r="U102" s="23"/>
      <c r="V102" s="23"/>
      <c r="W102" s="23"/>
      <c r="X102" s="23"/>
      <c r="Y102" s="23"/>
      <c r="Z102" s="23"/>
      <c r="AA102" s="23"/>
      <c r="AC102" s="35"/>
      <c r="AD102" s="35"/>
      <c r="AE102" s="35"/>
      <c r="AF102" s="35"/>
      <c r="AG102" s="35"/>
      <c r="AH102" s="35"/>
      <c r="AI102" s="35"/>
    </row>
    <row r="103" spans="1:35" s="49" customFormat="1" x14ac:dyDescent="0.25">
      <c r="A103" s="48">
        <v>69</v>
      </c>
      <c r="B103" s="435"/>
      <c r="C103" s="436"/>
      <c r="D103" s="106"/>
      <c r="E103" s="107"/>
      <c r="F103" s="108"/>
      <c r="G103" s="111"/>
      <c r="H103" s="401"/>
      <c r="I103" s="401"/>
      <c r="J103" s="110"/>
      <c r="K103" s="23"/>
      <c r="L103" s="23"/>
      <c r="M103" s="23"/>
      <c r="N103" s="23"/>
      <c r="O103" s="23"/>
      <c r="P103" s="23"/>
      <c r="Q103" s="23"/>
      <c r="R103" s="23"/>
      <c r="S103" s="23"/>
      <c r="T103" s="23"/>
      <c r="U103" s="23"/>
      <c r="V103" s="23"/>
      <c r="W103" s="23"/>
      <c r="X103" s="23"/>
      <c r="Y103" s="23"/>
      <c r="Z103" s="23"/>
      <c r="AA103" s="23"/>
      <c r="AC103" s="35"/>
      <c r="AD103" s="35"/>
      <c r="AE103" s="35"/>
      <c r="AF103" s="35"/>
      <c r="AG103" s="35"/>
      <c r="AH103" s="35"/>
      <c r="AI103" s="35"/>
    </row>
    <row r="104" spans="1:35" s="49" customFormat="1" x14ac:dyDescent="0.25">
      <c r="A104" s="48">
        <v>70</v>
      </c>
      <c r="B104" s="435"/>
      <c r="C104" s="436"/>
      <c r="D104" s="106"/>
      <c r="E104" s="107"/>
      <c r="F104" s="108"/>
      <c r="G104" s="111"/>
      <c r="H104" s="401"/>
      <c r="I104" s="401"/>
      <c r="J104" s="110"/>
      <c r="K104" s="23"/>
      <c r="L104" s="23"/>
      <c r="M104" s="23"/>
      <c r="N104" s="23"/>
      <c r="O104" s="23"/>
      <c r="P104" s="23"/>
      <c r="Q104" s="23"/>
      <c r="R104" s="23"/>
      <c r="S104" s="23"/>
      <c r="T104" s="23"/>
      <c r="U104" s="23"/>
      <c r="V104" s="23"/>
      <c r="W104" s="23"/>
      <c r="X104" s="23"/>
      <c r="Y104" s="23"/>
      <c r="Z104" s="23"/>
      <c r="AA104" s="23"/>
      <c r="AC104" s="35"/>
      <c r="AD104" s="35"/>
      <c r="AE104" s="35"/>
      <c r="AF104" s="35"/>
      <c r="AG104" s="35"/>
      <c r="AH104" s="35"/>
      <c r="AI104" s="35"/>
    </row>
    <row r="105" spans="1:35" s="49" customFormat="1" x14ac:dyDescent="0.25">
      <c r="A105" s="48">
        <v>71</v>
      </c>
      <c r="B105" s="435"/>
      <c r="C105" s="436"/>
      <c r="D105" s="106"/>
      <c r="E105" s="107"/>
      <c r="F105" s="108"/>
      <c r="G105" s="111"/>
      <c r="H105" s="401"/>
      <c r="I105" s="401"/>
      <c r="J105" s="110"/>
      <c r="K105" s="23"/>
      <c r="L105" s="23"/>
      <c r="M105" s="23"/>
      <c r="N105" s="23"/>
      <c r="O105" s="23"/>
      <c r="P105" s="23"/>
      <c r="Q105" s="23"/>
      <c r="R105" s="23"/>
      <c r="S105" s="23"/>
      <c r="T105" s="23"/>
      <c r="U105" s="23"/>
      <c r="V105" s="23"/>
      <c r="W105" s="23"/>
      <c r="X105" s="23"/>
      <c r="Y105" s="23"/>
      <c r="Z105" s="23"/>
      <c r="AA105" s="23"/>
      <c r="AC105" s="35"/>
      <c r="AD105" s="35"/>
      <c r="AE105" s="35"/>
      <c r="AF105" s="35"/>
      <c r="AG105" s="35"/>
      <c r="AH105" s="35"/>
      <c r="AI105" s="35"/>
    </row>
    <row r="106" spans="1:35" s="49" customFormat="1" x14ac:dyDescent="0.25">
      <c r="A106" s="2">
        <v>72</v>
      </c>
      <c r="B106" s="435"/>
      <c r="C106" s="436"/>
      <c r="D106" s="106"/>
      <c r="E106" s="107"/>
      <c r="F106" s="108"/>
      <c r="G106" s="111"/>
      <c r="H106" s="401"/>
      <c r="I106" s="401"/>
      <c r="J106" s="110"/>
      <c r="K106" s="23"/>
      <c r="L106" s="23"/>
      <c r="M106" s="23"/>
      <c r="N106" s="23"/>
      <c r="O106" s="23"/>
      <c r="P106" s="23"/>
      <c r="Q106" s="23"/>
      <c r="R106" s="23"/>
      <c r="S106" s="23"/>
      <c r="T106" s="23"/>
      <c r="U106" s="23"/>
      <c r="V106" s="23"/>
      <c r="W106" s="23"/>
      <c r="X106" s="23"/>
      <c r="Y106" s="23"/>
      <c r="Z106" s="23"/>
      <c r="AA106" s="23"/>
      <c r="AC106" s="35"/>
      <c r="AD106" s="35"/>
      <c r="AE106" s="35"/>
      <c r="AF106" s="35"/>
      <c r="AG106" s="35"/>
      <c r="AH106" s="35"/>
      <c r="AI106" s="35"/>
    </row>
    <row r="107" spans="1:35" s="49" customFormat="1" x14ac:dyDescent="0.25">
      <c r="A107" s="2">
        <v>73</v>
      </c>
      <c r="B107" s="435"/>
      <c r="C107" s="436"/>
      <c r="D107" s="106"/>
      <c r="E107" s="107"/>
      <c r="F107" s="108"/>
      <c r="G107" s="111"/>
      <c r="H107" s="401"/>
      <c r="I107" s="401"/>
      <c r="J107" s="110"/>
      <c r="K107" s="23"/>
      <c r="L107" s="23"/>
      <c r="M107" s="23"/>
      <c r="N107" s="23"/>
      <c r="O107" s="23"/>
      <c r="P107" s="23"/>
      <c r="Q107" s="23"/>
      <c r="R107" s="23"/>
      <c r="S107" s="23"/>
      <c r="T107" s="23"/>
      <c r="U107" s="23"/>
      <c r="V107" s="23"/>
      <c r="W107" s="23"/>
      <c r="X107" s="23"/>
      <c r="Y107" s="23"/>
      <c r="Z107" s="23"/>
      <c r="AA107" s="23"/>
      <c r="AC107" s="35"/>
      <c r="AD107" s="35"/>
      <c r="AE107" s="35"/>
      <c r="AF107" s="35"/>
      <c r="AG107" s="35"/>
      <c r="AH107" s="35"/>
      <c r="AI107" s="35"/>
    </row>
    <row r="108" spans="1:35" s="49" customFormat="1" x14ac:dyDescent="0.25">
      <c r="A108" s="2">
        <v>74</v>
      </c>
      <c r="B108" s="435"/>
      <c r="C108" s="436"/>
      <c r="D108" s="106"/>
      <c r="E108" s="107"/>
      <c r="F108" s="108"/>
      <c r="G108" s="111"/>
      <c r="H108" s="401"/>
      <c r="I108" s="401"/>
      <c r="J108" s="110"/>
      <c r="K108" s="23"/>
      <c r="L108" s="23"/>
      <c r="M108" s="23"/>
      <c r="N108" s="23"/>
      <c r="O108" s="23"/>
      <c r="P108" s="23"/>
      <c r="Q108" s="23"/>
      <c r="R108" s="23"/>
      <c r="S108" s="23"/>
      <c r="T108" s="23"/>
      <c r="U108" s="23"/>
      <c r="V108" s="23"/>
      <c r="W108" s="23"/>
      <c r="X108" s="23"/>
      <c r="Y108" s="23"/>
      <c r="Z108" s="23"/>
      <c r="AA108" s="23"/>
      <c r="AC108" s="35"/>
      <c r="AD108" s="35"/>
      <c r="AE108" s="35"/>
      <c r="AF108" s="35"/>
      <c r="AG108" s="35"/>
      <c r="AH108" s="35"/>
      <c r="AI108" s="35"/>
    </row>
    <row r="109" spans="1:35" s="49" customFormat="1" x14ac:dyDescent="0.25">
      <c r="A109" s="2">
        <v>75</v>
      </c>
      <c r="B109" s="435"/>
      <c r="C109" s="436"/>
      <c r="D109" s="106"/>
      <c r="E109" s="107"/>
      <c r="F109" s="108"/>
      <c r="G109" s="111"/>
      <c r="H109" s="401"/>
      <c r="I109" s="401"/>
      <c r="J109" s="110"/>
      <c r="K109" s="23"/>
      <c r="L109" s="23"/>
      <c r="M109" s="23"/>
      <c r="N109" s="23"/>
      <c r="O109" s="23"/>
      <c r="P109" s="23"/>
      <c r="Q109" s="23"/>
      <c r="R109" s="23"/>
      <c r="S109" s="23"/>
      <c r="T109" s="23"/>
      <c r="U109" s="23"/>
      <c r="V109" s="23"/>
      <c r="W109" s="23"/>
      <c r="X109" s="23"/>
      <c r="Y109" s="23"/>
      <c r="Z109" s="23"/>
      <c r="AA109" s="23"/>
      <c r="AC109" s="35"/>
      <c r="AD109" s="35"/>
      <c r="AE109" s="35"/>
      <c r="AF109" s="35"/>
      <c r="AG109" s="35"/>
      <c r="AH109" s="35"/>
      <c r="AI109" s="35"/>
    </row>
    <row r="110" spans="1:35" s="49" customFormat="1" x14ac:dyDescent="0.25">
      <c r="A110" s="2">
        <v>76</v>
      </c>
      <c r="B110" s="435"/>
      <c r="C110" s="436"/>
      <c r="D110" s="106"/>
      <c r="E110" s="107"/>
      <c r="F110" s="108"/>
      <c r="G110" s="111"/>
      <c r="H110" s="401"/>
      <c r="I110" s="401"/>
      <c r="J110" s="110"/>
      <c r="K110" s="23"/>
      <c r="L110" s="23"/>
      <c r="M110" s="23"/>
      <c r="N110" s="23"/>
      <c r="O110" s="23"/>
      <c r="P110" s="23"/>
      <c r="Q110" s="23"/>
      <c r="R110" s="23"/>
      <c r="S110" s="23"/>
      <c r="T110" s="23"/>
      <c r="U110" s="23"/>
      <c r="V110" s="23"/>
      <c r="W110" s="23"/>
      <c r="X110" s="23"/>
      <c r="Y110" s="23"/>
      <c r="Z110" s="23"/>
      <c r="AA110" s="23"/>
      <c r="AC110" s="35"/>
      <c r="AD110" s="35"/>
      <c r="AE110" s="35"/>
      <c r="AF110" s="35"/>
      <c r="AG110" s="35"/>
      <c r="AH110" s="35"/>
      <c r="AI110" s="35"/>
    </row>
    <row r="111" spans="1:35" s="49" customFormat="1" x14ac:dyDescent="0.25">
      <c r="A111" s="2">
        <v>77</v>
      </c>
      <c r="B111" s="435"/>
      <c r="C111" s="436"/>
      <c r="D111" s="106"/>
      <c r="E111" s="107"/>
      <c r="F111" s="108"/>
      <c r="G111" s="111"/>
      <c r="H111" s="401"/>
      <c r="I111" s="401"/>
      <c r="J111" s="110"/>
      <c r="K111" s="23"/>
      <c r="L111" s="23"/>
      <c r="M111" s="23"/>
      <c r="N111" s="23"/>
      <c r="O111" s="23"/>
      <c r="P111" s="23"/>
      <c r="Q111" s="23"/>
      <c r="R111" s="23"/>
      <c r="S111" s="23"/>
      <c r="T111" s="23"/>
      <c r="U111" s="23"/>
      <c r="V111" s="23"/>
      <c r="W111" s="23"/>
      <c r="X111" s="23"/>
      <c r="Y111" s="23"/>
      <c r="Z111" s="23"/>
      <c r="AA111" s="23"/>
      <c r="AC111" s="35"/>
      <c r="AD111" s="35"/>
      <c r="AE111" s="35"/>
      <c r="AF111" s="35"/>
      <c r="AG111" s="35"/>
      <c r="AH111" s="35"/>
      <c r="AI111" s="35"/>
    </row>
    <row r="112" spans="1:35" s="49" customFormat="1" x14ac:dyDescent="0.25">
      <c r="A112" s="2">
        <v>78</v>
      </c>
      <c r="B112" s="435"/>
      <c r="C112" s="436"/>
      <c r="D112" s="106"/>
      <c r="E112" s="107"/>
      <c r="F112" s="108"/>
      <c r="G112" s="111"/>
      <c r="H112" s="401"/>
      <c r="I112" s="401"/>
      <c r="J112" s="110"/>
      <c r="K112" s="23"/>
      <c r="L112" s="23"/>
      <c r="M112" s="23"/>
      <c r="N112" s="23"/>
      <c r="O112" s="23"/>
      <c r="P112" s="23"/>
      <c r="Q112" s="23"/>
      <c r="R112" s="23"/>
      <c r="S112" s="23"/>
      <c r="T112" s="23"/>
      <c r="U112" s="23"/>
      <c r="V112" s="23"/>
      <c r="W112" s="23"/>
      <c r="X112" s="23"/>
      <c r="Y112" s="23"/>
      <c r="Z112" s="23"/>
      <c r="AA112" s="23"/>
      <c r="AC112" s="35"/>
      <c r="AD112" s="35"/>
      <c r="AE112" s="35"/>
      <c r="AF112" s="35"/>
      <c r="AG112" s="35"/>
      <c r="AH112" s="35"/>
      <c r="AI112" s="35"/>
    </row>
    <row r="113" spans="1:35" s="49" customFormat="1" x14ac:dyDescent="0.25">
      <c r="A113" s="2">
        <v>79</v>
      </c>
      <c r="B113" s="435"/>
      <c r="C113" s="436"/>
      <c r="D113" s="106"/>
      <c r="E113" s="107"/>
      <c r="F113" s="108"/>
      <c r="G113" s="111"/>
      <c r="H113" s="401"/>
      <c r="I113" s="401"/>
      <c r="J113" s="110"/>
      <c r="K113" s="23"/>
      <c r="L113" s="23"/>
      <c r="M113" s="23"/>
      <c r="N113" s="23"/>
      <c r="O113" s="23"/>
      <c r="P113" s="23"/>
      <c r="Q113" s="23"/>
      <c r="R113" s="23"/>
      <c r="S113" s="23"/>
      <c r="T113" s="23"/>
      <c r="U113" s="23"/>
      <c r="V113" s="23"/>
      <c r="W113" s="23"/>
      <c r="X113" s="23"/>
      <c r="Y113" s="23"/>
      <c r="Z113" s="23"/>
      <c r="AA113" s="23"/>
      <c r="AC113" s="35"/>
      <c r="AD113" s="35"/>
      <c r="AE113" s="35"/>
      <c r="AF113" s="35"/>
      <c r="AG113" s="35"/>
      <c r="AH113" s="35"/>
      <c r="AI113" s="35"/>
    </row>
    <row r="114" spans="1:35" s="49" customFormat="1" x14ac:dyDescent="0.25">
      <c r="A114" s="2">
        <v>80</v>
      </c>
      <c r="B114" s="435"/>
      <c r="C114" s="436"/>
      <c r="D114" s="106"/>
      <c r="E114" s="107"/>
      <c r="F114" s="108"/>
      <c r="G114" s="111"/>
      <c r="H114" s="401"/>
      <c r="I114" s="401"/>
      <c r="J114" s="110"/>
      <c r="K114" s="23"/>
      <c r="L114" s="23"/>
      <c r="M114" s="23"/>
      <c r="N114" s="23"/>
      <c r="O114" s="23"/>
      <c r="P114" s="23"/>
      <c r="Q114" s="23"/>
      <c r="R114" s="23"/>
      <c r="S114" s="23"/>
      <c r="T114" s="23"/>
      <c r="U114" s="23"/>
      <c r="V114" s="23"/>
      <c r="W114" s="23"/>
      <c r="X114" s="23"/>
      <c r="Y114" s="23"/>
      <c r="Z114" s="23"/>
      <c r="AA114" s="23"/>
      <c r="AC114" s="35"/>
      <c r="AD114" s="35"/>
      <c r="AE114" s="35"/>
      <c r="AF114" s="35"/>
      <c r="AG114" s="35"/>
      <c r="AH114" s="35"/>
      <c r="AI114" s="35"/>
    </row>
    <row r="115" spans="1:35" s="49" customFormat="1" x14ac:dyDescent="0.25">
      <c r="A115" s="2">
        <v>81</v>
      </c>
      <c r="B115" s="435"/>
      <c r="C115" s="436"/>
      <c r="D115" s="106"/>
      <c r="E115" s="107"/>
      <c r="F115" s="108"/>
      <c r="G115" s="111"/>
      <c r="H115" s="401"/>
      <c r="I115" s="401"/>
      <c r="J115" s="110"/>
      <c r="K115" s="23"/>
      <c r="L115" s="23"/>
      <c r="M115" s="23"/>
      <c r="N115" s="23"/>
      <c r="O115" s="23"/>
      <c r="P115" s="23"/>
      <c r="Q115" s="23"/>
      <c r="R115" s="23"/>
      <c r="S115" s="23"/>
      <c r="T115" s="23"/>
      <c r="U115" s="23"/>
      <c r="V115" s="23"/>
      <c r="W115" s="23"/>
      <c r="X115" s="23"/>
      <c r="Y115" s="23"/>
      <c r="Z115" s="23"/>
      <c r="AA115" s="23"/>
      <c r="AC115" s="35"/>
      <c r="AD115" s="35"/>
      <c r="AE115" s="35"/>
      <c r="AF115" s="35"/>
      <c r="AG115" s="35"/>
      <c r="AH115" s="35"/>
      <c r="AI115" s="35"/>
    </row>
    <row r="116" spans="1:35" s="49" customFormat="1" x14ac:dyDescent="0.25">
      <c r="A116" s="2">
        <v>82</v>
      </c>
      <c r="B116" s="435"/>
      <c r="C116" s="436"/>
      <c r="D116" s="106"/>
      <c r="E116" s="107"/>
      <c r="F116" s="108"/>
      <c r="G116" s="111"/>
      <c r="H116" s="401"/>
      <c r="I116" s="401"/>
      <c r="J116" s="110"/>
      <c r="K116" s="23"/>
      <c r="L116" s="23"/>
      <c r="M116" s="23"/>
      <c r="N116" s="23"/>
      <c r="O116" s="23"/>
      <c r="P116" s="23"/>
      <c r="Q116" s="23"/>
      <c r="R116" s="23"/>
      <c r="S116" s="23"/>
      <c r="T116" s="23"/>
      <c r="U116" s="23"/>
      <c r="V116" s="23"/>
      <c r="W116" s="23"/>
      <c r="X116" s="23"/>
      <c r="Y116" s="23"/>
      <c r="Z116" s="23"/>
      <c r="AA116" s="23"/>
      <c r="AC116" s="35"/>
      <c r="AD116" s="35"/>
      <c r="AE116" s="35"/>
      <c r="AF116" s="35"/>
      <c r="AG116" s="35"/>
      <c r="AH116" s="35"/>
      <c r="AI116" s="35"/>
    </row>
    <row r="117" spans="1:35" s="49" customFormat="1" x14ac:dyDescent="0.25">
      <c r="A117" s="48">
        <v>83</v>
      </c>
      <c r="B117" s="435"/>
      <c r="C117" s="436"/>
      <c r="D117" s="106"/>
      <c r="E117" s="107"/>
      <c r="F117" s="108"/>
      <c r="G117" s="111"/>
      <c r="H117" s="401"/>
      <c r="I117" s="401"/>
      <c r="J117" s="110"/>
      <c r="K117" s="23"/>
      <c r="L117" s="23"/>
      <c r="M117" s="23"/>
      <c r="N117" s="23"/>
      <c r="O117" s="23"/>
      <c r="P117" s="23"/>
      <c r="Q117" s="23"/>
      <c r="R117" s="23"/>
      <c r="S117" s="23"/>
      <c r="T117" s="23"/>
      <c r="U117" s="23"/>
      <c r="V117" s="23"/>
      <c r="W117" s="23"/>
      <c r="X117" s="23"/>
      <c r="Y117" s="23"/>
      <c r="Z117" s="23"/>
      <c r="AA117" s="23"/>
      <c r="AC117" s="35"/>
      <c r="AD117" s="35"/>
      <c r="AE117" s="35"/>
      <c r="AF117" s="35"/>
      <c r="AG117" s="35"/>
      <c r="AH117" s="35"/>
      <c r="AI117" s="35"/>
    </row>
    <row r="118" spans="1:35" s="49" customFormat="1" x14ac:dyDescent="0.25">
      <c r="A118" s="48">
        <v>84</v>
      </c>
      <c r="B118" s="435"/>
      <c r="C118" s="436"/>
      <c r="D118" s="106"/>
      <c r="E118" s="107"/>
      <c r="F118" s="108"/>
      <c r="G118" s="111"/>
      <c r="H118" s="401"/>
      <c r="I118" s="401"/>
      <c r="J118" s="110"/>
      <c r="K118" s="23"/>
      <c r="L118" s="23"/>
      <c r="M118" s="23"/>
      <c r="N118" s="23"/>
      <c r="O118" s="23"/>
      <c r="P118" s="23"/>
      <c r="Q118" s="23"/>
      <c r="R118" s="23"/>
      <c r="S118" s="23"/>
      <c r="T118" s="23"/>
      <c r="U118" s="23"/>
      <c r="V118" s="23"/>
      <c r="W118" s="23"/>
      <c r="X118" s="23"/>
      <c r="Y118" s="23"/>
      <c r="Z118" s="23"/>
      <c r="AA118" s="23"/>
      <c r="AC118" s="35"/>
      <c r="AD118" s="35"/>
      <c r="AE118" s="35"/>
      <c r="AF118" s="35"/>
      <c r="AG118" s="35"/>
      <c r="AH118" s="35"/>
      <c r="AI118" s="35"/>
    </row>
    <row r="119" spans="1:35" s="35" customFormat="1" x14ac:dyDescent="0.25">
      <c r="A119" s="2">
        <v>85</v>
      </c>
      <c r="B119" s="435"/>
      <c r="C119" s="436"/>
      <c r="D119" s="106"/>
      <c r="E119" s="107"/>
      <c r="F119" s="108"/>
      <c r="G119" s="112"/>
      <c r="H119" s="401"/>
      <c r="I119" s="401"/>
      <c r="J119" s="110"/>
      <c r="K119" s="32"/>
      <c r="L119" s="32"/>
      <c r="M119" s="32"/>
      <c r="N119" s="32"/>
      <c r="O119" s="32"/>
      <c r="P119" s="32"/>
      <c r="Q119" s="32"/>
      <c r="R119" s="32"/>
      <c r="S119" s="32"/>
      <c r="T119" s="32"/>
      <c r="U119" s="32"/>
      <c r="V119" s="32"/>
      <c r="W119" s="32"/>
      <c r="X119" s="32"/>
      <c r="Y119" s="32"/>
      <c r="Z119" s="32"/>
      <c r="AA119" s="32"/>
      <c r="AC119" s="49"/>
      <c r="AD119" s="49"/>
      <c r="AE119" s="49"/>
      <c r="AF119" s="49"/>
      <c r="AG119" s="49"/>
      <c r="AH119" s="49"/>
      <c r="AI119" s="49"/>
    </row>
    <row r="120" spans="1:35" s="35" customFormat="1" x14ac:dyDescent="0.25">
      <c r="A120" s="48">
        <v>86</v>
      </c>
      <c r="B120" s="435"/>
      <c r="C120" s="436"/>
      <c r="D120" s="106"/>
      <c r="E120" s="107"/>
      <c r="F120" s="108"/>
      <c r="G120" s="112"/>
      <c r="H120" s="401"/>
      <c r="I120" s="401"/>
      <c r="J120" s="110"/>
      <c r="K120" s="32"/>
      <c r="L120" s="32"/>
      <c r="M120" s="32"/>
      <c r="N120" s="32"/>
      <c r="O120" s="32"/>
      <c r="P120" s="32"/>
      <c r="Q120" s="32"/>
      <c r="R120" s="32"/>
      <c r="S120" s="32"/>
      <c r="T120" s="32"/>
      <c r="U120" s="32"/>
      <c r="V120" s="32"/>
      <c r="W120" s="32"/>
      <c r="X120" s="32"/>
      <c r="Y120" s="32"/>
      <c r="Z120" s="32"/>
      <c r="AA120" s="32"/>
    </row>
    <row r="121" spans="1:35" x14ac:dyDescent="0.25">
      <c r="A121" s="48">
        <v>87</v>
      </c>
      <c r="B121" s="435"/>
      <c r="C121" s="436"/>
      <c r="D121" s="106"/>
      <c r="E121" s="107"/>
      <c r="F121" s="108"/>
      <c r="G121" s="109"/>
      <c r="H121" s="401"/>
      <c r="I121" s="401"/>
      <c r="J121" s="110"/>
      <c r="K121" s="32"/>
      <c r="L121" s="32"/>
      <c r="M121" s="32"/>
      <c r="N121" s="32"/>
      <c r="O121" s="32"/>
      <c r="P121" s="32"/>
      <c r="Q121" s="32"/>
      <c r="R121" s="32"/>
      <c r="S121" s="32"/>
      <c r="T121" s="32"/>
      <c r="U121" s="32"/>
      <c r="V121" s="32"/>
      <c r="W121" s="32"/>
      <c r="X121" s="32"/>
      <c r="Y121" s="32"/>
      <c r="Z121" s="32"/>
      <c r="AA121" s="32"/>
    </row>
    <row r="122" spans="1:35" x14ac:dyDescent="0.25">
      <c r="A122" s="48">
        <v>88</v>
      </c>
      <c r="B122" s="435"/>
      <c r="C122" s="436"/>
      <c r="D122" s="106"/>
      <c r="E122" s="107"/>
      <c r="F122" s="108"/>
      <c r="G122" s="109"/>
      <c r="H122" s="401"/>
      <c r="I122" s="401"/>
      <c r="J122" s="110"/>
      <c r="K122" s="34"/>
      <c r="L122" s="34"/>
      <c r="M122" s="34"/>
      <c r="N122" s="34"/>
      <c r="O122" s="34"/>
      <c r="P122" s="34"/>
      <c r="Q122" s="34"/>
      <c r="R122" s="34"/>
      <c r="S122" s="34"/>
      <c r="T122" s="34"/>
      <c r="U122" s="34"/>
      <c r="V122" s="34"/>
      <c r="W122" s="34"/>
      <c r="X122" s="34"/>
      <c r="Y122" s="34"/>
      <c r="Z122" s="34"/>
      <c r="AA122" s="34"/>
    </row>
    <row r="123" spans="1:35" x14ac:dyDescent="0.25">
      <c r="A123" s="2">
        <v>89</v>
      </c>
      <c r="B123" s="435"/>
      <c r="C123" s="436"/>
      <c r="D123" s="106"/>
      <c r="E123" s="107"/>
      <c r="F123" s="108"/>
      <c r="G123" s="109"/>
      <c r="H123" s="401"/>
      <c r="I123" s="401"/>
      <c r="J123" s="110"/>
      <c r="K123" s="34"/>
      <c r="L123" s="34"/>
      <c r="M123" s="34"/>
      <c r="N123" s="34"/>
      <c r="O123" s="34"/>
      <c r="P123" s="34"/>
      <c r="Q123" s="34"/>
      <c r="R123" s="34"/>
      <c r="S123" s="34"/>
      <c r="T123" s="34"/>
      <c r="U123" s="34"/>
      <c r="V123" s="34"/>
      <c r="W123" s="34"/>
      <c r="X123" s="34"/>
      <c r="Y123" s="34"/>
      <c r="Z123" s="34"/>
      <c r="AA123" s="34"/>
    </row>
    <row r="124" spans="1:35" x14ac:dyDescent="0.25">
      <c r="A124" s="2">
        <v>90</v>
      </c>
      <c r="B124" s="435"/>
      <c r="C124" s="436"/>
      <c r="D124" s="106"/>
      <c r="E124" s="107"/>
      <c r="F124" s="108"/>
      <c r="G124" s="109"/>
      <c r="H124" s="401"/>
      <c r="I124" s="401"/>
      <c r="J124" s="110"/>
      <c r="K124" s="34"/>
      <c r="L124" s="34"/>
      <c r="M124" s="34"/>
      <c r="N124" s="34"/>
      <c r="O124" s="34"/>
      <c r="P124" s="34"/>
      <c r="Q124" s="34"/>
      <c r="R124" s="34"/>
      <c r="S124" s="34"/>
      <c r="T124" s="34"/>
      <c r="U124" s="34"/>
      <c r="V124" s="34"/>
      <c r="W124" s="34"/>
      <c r="X124" s="34"/>
      <c r="Y124" s="34"/>
      <c r="Z124" s="34"/>
      <c r="AA124" s="34"/>
    </row>
    <row r="125" spans="1:35" x14ac:dyDescent="0.25">
      <c r="A125" s="2">
        <v>91</v>
      </c>
      <c r="B125" s="435"/>
      <c r="C125" s="436"/>
      <c r="D125" s="106"/>
      <c r="E125" s="107"/>
      <c r="F125" s="108"/>
      <c r="G125" s="109"/>
      <c r="H125" s="401"/>
      <c r="I125" s="401"/>
      <c r="J125" s="110"/>
      <c r="K125" s="43"/>
      <c r="L125" s="43"/>
      <c r="M125" s="43"/>
      <c r="N125" s="43"/>
      <c r="O125" s="43"/>
      <c r="P125" s="43"/>
      <c r="Q125" s="43"/>
      <c r="R125" s="43"/>
      <c r="S125" s="43"/>
      <c r="T125" s="43"/>
      <c r="U125" s="43"/>
      <c r="V125" s="43"/>
      <c r="W125" s="43"/>
      <c r="X125" s="43"/>
      <c r="Y125" s="43"/>
      <c r="Z125" s="43"/>
      <c r="AA125" s="43"/>
    </row>
    <row r="126" spans="1:35" x14ac:dyDescent="0.25">
      <c r="A126" s="2">
        <v>92</v>
      </c>
      <c r="B126" s="435"/>
      <c r="C126" s="436"/>
      <c r="D126" s="106"/>
      <c r="E126" s="107"/>
      <c r="F126" s="108"/>
      <c r="G126" s="109"/>
      <c r="H126" s="401"/>
      <c r="I126" s="401"/>
      <c r="J126" s="110"/>
      <c r="K126" s="34"/>
      <c r="L126" s="34"/>
      <c r="M126" s="34"/>
      <c r="N126" s="34"/>
      <c r="O126" s="34"/>
      <c r="P126" s="34"/>
      <c r="Q126" s="34"/>
      <c r="R126" s="34"/>
      <c r="S126" s="34"/>
      <c r="T126" s="34"/>
      <c r="U126" s="34"/>
      <c r="V126" s="34"/>
      <c r="W126" s="34"/>
      <c r="X126" s="34"/>
      <c r="Y126" s="34"/>
      <c r="Z126" s="34"/>
      <c r="AA126" s="34"/>
    </row>
    <row r="127" spans="1:35" x14ac:dyDescent="0.25">
      <c r="A127" s="2">
        <v>93</v>
      </c>
      <c r="B127" s="435"/>
      <c r="C127" s="436"/>
      <c r="D127" s="106"/>
      <c r="E127" s="107"/>
      <c r="F127" s="108"/>
      <c r="G127" s="109"/>
      <c r="H127" s="401"/>
      <c r="I127" s="401"/>
      <c r="J127" s="110"/>
      <c r="K127" s="34"/>
      <c r="L127" s="34"/>
      <c r="M127" s="34"/>
      <c r="N127" s="34"/>
      <c r="O127" s="34"/>
      <c r="P127" s="34"/>
      <c r="Q127" s="34"/>
      <c r="R127" s="34"/>
      <c r="S127" s="34"/>
      <c r="T127" s="34"/>
      <c r="U127" s="34"/>
      <c r="V127" s="34"/>
      <c r="W127" s="34"/>
      <c r="X127" s="34"/>
      <c r="Y127" s="34"/>
      <c r="Z127" s="34"/>
      <c r="AA127" s="34"/>
    </row>
    <row r="128" spans="1:35" x14ac:dyDescent="0.25">
      <c r="A128" s="2">
        <v>94</v>
      </c>
      <c r="B128" s="435"/>
      <c r="C128" s="436"/>
      <c r="D128" s="106"/>
      <c r="E128" s="107"/>
      <c r="F128" s="108"/>
      <c r="G128" s="109"/>
      <c r="H128" s="401"/>
      <c r="I128" s="401"/>
      <c r="J128" s="110"/>
      <c r="K128" s="47"/>
      <c r="L128" s="47"/>
      <c r="M128" s="47"/>
      <c r="N128" s="47"/>
      <c r="O128" s="47"/>
      <c r="P128" s="47"/>
      <c r="Q128" s="47"/>
      <c r="R128" s="47"/>
      <c r="S128" s="47"/>
      <c r="T128" s="47"/>
      <c r="U128" s="47"/>
      <c r="V128" s="47"/>
      <c r="W128" s="47"/>
      <c r="X128" s="47"/>
      <c r="Y128" s="47"/>
      <c r="Z128" s="47"/>
      <c r="AA128" s="47"/>
    </row>
    <row r="129" spans="1:27" x14ac:dyDescent="0.25">
      <c r="A129" s="2">
        <v>95</v>
      </c>
      <c r="B129" s="435"/>
      <c r="C129" s="436"/>
      <c r="D129" s="106"/>
      <c r="E129" s="107"/>
      <c r="F129" s="108"/>
      <c r="G129" s="109"/>
      <c r="H129" s="401"/>
      <c r="I129" s="401"/>
      <c r="J129" s="110"/>
      <c r="K129" s="23"/>
      <c r="L129" s="23"/>
      <c r="M129" s="23"/>
      <c r="N129" s="23"/>
      <c r="O129" s="23"/>
      <c r="P129" s="23"/>
      <c r="Q129" s="23"/>
      <c r="R129" s="23"/>
      <c r="S129" s="23"/>
      <c r="T129" s="23"/>
      <c r="U129" s="23"/>
      <c r="V129" s="23"/>
      <c r="W129" s="23"/>
      <c r="X129" s="23"/>
      <c r="Y129" s="23"/>
      <c r="Z129" s="23"/>
      <c r="AA129" s="23"/>
    </row>
    <row r="130" spans="1:27" x14ac:dyDescent="0.25">
      <c r="A130" s="2">
        <v>96</v>
      </c>
      <c r="B130" s="435"/>
      <c r="C130" s="436"/>
      <c r="D130" s="106"/>
      <c r="E130" s="107"/>
      <c r="F130" s="108"/>
      <c r="G130" s="109"/>
      <c r="H130" s="401"/>
      <c r="I130" s="401"/>
      <c r="J130" s="110"/>
      <c r="K130" s="23"/>
      <c r="L130" s="23"/>
      <c r="M130" s="23"/>
      <c r="N130" s="23"/>
      <c r="O130" s="23"/>
      <c r="P130" s="23"/>
      <c r="Q130" s="23"/>
      <c r="R130" s="23"/>
      <c r="S130" s="23"/>
      <c r="T130" s="23"/>
      <c r="U130" s="23"/>
      <c r="V130" s="23"/>
      <c r="W130" s="23"/>
      <c r="X130" s="23"/>
      <c r="Y130" s="23"/>
      <c r="Z130" s="23"/>
      <c r="AA130" s="23"/>
    </row>
    <row r="131" spans="1:27" x14ac:dyDescent="0.25">
      <c r="A131" s="2">
        <v>97</v>
      </c>
      <c r="B131" s="435"/>
      <c r="C131" s="436"/>
      <c r="D131" s="106"/>
      <c r="E131" s="107"/>
      <c r="F131" s="108"/>
      <c r="G131" s="109"/>
      <c r="H131" s="401"/>
      <c r="I131" s="401"/>
      <c r="J131" s="110"/>
      <c r="K131" s="23"/>
      <c r="L131" s="23"/>
      <c r="M131" s="23"/>
      <c r="N131" s="23"/>
      <c r="O131" s="23"/>
      <c r="P131" s="23"/>
      <c r="Q131" s="23"/>
      <c r="R131" s="23"/>
      <c r="S131" s="23"/>
      <c r="T131" s="23"/>
      <c r="U131" s="23"/>
      <c r="V131" s="23"/>
      <c r="W131" s="23"/>
      <c r="X131" s="23"/>
      <c r="Y131" s="23"/>
      <c r="Z131" s="23"/>
      <c r="AA131" s="23"/>
    </row>
    <row r="132" spans="1:27" x14ac:dyDescent="0.25">
      <c r="A132" s="2">
        <v>98</v>
      </c>
      <c r="B132" s="435"/>
      <c r="C132" s="436"/>
      <c r="D132" s="106"/>
      <c r="E132" s="107"/>
      <c r="F132" s="108"/>
      <c r="G132" s="109"/>
      <c r="H132" s="401"/>
      <c r="I132" s="401"/>
      <c r="J132" s="110"/>
      <c r="K132" s="23"/>
      <c r="L132" s="23"/>
      <c r="M132" s="23"/>
      <c r="N132" s="23"/>
      <c r="O132" s="23"/>
      <c r="P132" s="23"/>
      <c r="Q132" s="23"/>
      <c r="R132" s="23"/>
      <c r="S132" s="23"/>
      <c r="T132" s="23"/>
      <c r="U132" s="23"/>
      <c r="V132" s="23"/>
      <c r="W132" s="23"/>
      <c r="X132" s="23"/>
      <c r="Y132" s="23"/>
      <c r="Z132" s="23"/>
      <c r="AA132" s="23"/>
    </row>
    <row r="133" spans="1:27" x14ac:dyDescent="0.25">
      <c r="A133" s="2">
        <v>99</v>
      </c>
      <c r="B133" s="435"/>
      <c r="C133" s="436"/>
      <c r="D133" s="106"/>
      <c r="E133" s="107"/>
      <c r="F133" s="108"/>
      <c r="G133" s="109"/>
      <c r="H133" s="401"/>
      <c r="I133" s="401"/>
      <c r="J133" s="110"/>
      <c r="K133" s="32"/>
      <c r="L133" s="32"/>
      <c r="M133" s="32"/>
      <c r="N133" s="32"/>
      <c r="O133" s="32"/>
      <c r="P133" s="32"/>
      <c r="Q133" s="32"/>
      <c r="R133" s="32"/>
      <c r="S133" s="32"/>
      <c r="T133" s="32"/>
      <c r="U133" s="32"/>
      <c r="V133" s="32"/>
      <c r="W133" s="32"/>
      <c r="X133" s="32"/>
      <c r="Y133" s="32"/>
      <c r="Z133" s="32"/>
      <c r="AA133" s="32"/>
    </row>
    <row r="134" spans="1:27" x14ac:dyDescent="0.25">
      <c r="A134" s="48">
        <v>100</v>
      </c>
      <c r="B134" s="435"/>
      <c r="C134" s="436"/>
      <c r="D134" s="106"/>
      <c r="E134" s="107"/>
      <c r="F134" s="108"/>
      <c r="G134" s="109"/>
      <c r="H134" s="402"/>
      <c r="I134" s="403"/>
      <c r="J134" s="110"/>
      <c r="K134" s="32"/>
      <c r="L134" s="32"/>
      <c r="M134" s="32"/>
      <c r="N134" s="32"/>
      <c r="O134" s="32"/>
      <c r="P134" s="32"/>
      <c r="Q134" s="32"/>
      <c r="R134" s="32"/>
      <c r="S134" s="32"/>
      <c r="T134" s="32"/>
      <c r="U134" s="32"/>
      <c r="V134" s="32"/>
      <c r="W134" s="32"/>
      <c r="X134" s="32"/>
      <c r="Y134" s="32"/>
      <c r="Z134" s="32"/>
      <c r="AA134" s="32"/>
    </row>
    <row r="135" spans="1:27" x14ac:dyDescent="0.25">
      <c r="B135" s="45"/>
      <c r="C135" s="32"/>
      <c r="D135" s="32"/>
      <c r="E135" s="32"/>
      <c r="F135" s="32"/>
      <c r="H135" s="404" t="s">
        <v>24</v>
      </c>
      <c r="I135" s="405"/>
      <c r="J135" s="85">
        <f>SUM(J35:J134)</f>
        <v>0</v>
      </c>
      <c r="K135" s="32"/>
      <c r="L135" s="32"/>
      <c r="M135" s="32"/>
      <c r="N135" s="32"/>
      <c r="O135" s="32"/>
      <c r="P135" s="32"/>
      <c r="Q135" s="32"/>
      <c r="R135" s="32"/>
      <c r="S135" s="32"/>
      <c r="T135" s="32"/>
      <c r="U135" s="32"/>
      <c r="V135" s="32"/>
      <c r="W135" s="32"/>
      <c r="X135" s="32"/>
      <c r="Y135" s="32"/>
      <c r="Z135" s="32"/>
      <c r="AA135" s="32"/>
    </row>
    <row r="136" spans="1:27" hidden="1" x14ac:dyDescent="0.25">
      <c r="B136" s="42"/>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idden="1" x14ac:dyDescent="0.25">
      <c r="B137" s="42"/>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idden="1" x14ac:dyDescent="0.25">
      <c r="B138" s="42"/>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idden="1" x14ac:dyDescent="0.25">
      <c r="B139" s="42"/>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row>
    <row r="140" spans="1:27" hidden="1" x14ac:dyDescent="0.25">
      <c r="B140" s="42"/>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idden="1" x14ac:dyDescent="0.25">
      <c r="B141" s="33"/>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idden="1" x14ac:dyDescent="0.25">
      <c r="B142" s="46"/>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spans="1:27" hidden="1" x14ac:dyDescent="0.25">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row>
    <row r="144" spans="1:27" hidden="1" x14ac:dyDescent="0.25">
      <c r="B144" s="4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row>
    <row r="145" spans="2:27" hidden="1" x14ac:dyDescent="0.25">
      <c r="B145" s="44"/>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row>
    <row r="146" spans="2:27" hidden="1" x14ac:dyDescent="0.25">
      <c r="B146" s="45"/>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row>
    <row r="147" spans="2:27" hidden="1" x14ac:dyDescent="0.25">
      <c r="B147" s="42"/>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2:27" hidden="1" x14ac:dyDescent="0.25">
      <c r="B148" s="42"/>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2:27" hidden="1" x14ac:dyDescent="0.25">
      <c r="B149" s="42"/>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2:27" hidden="1" x14ac:dyDescent="0.25">
      <c r="B150" s="42"/>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row>
    <row r="151" spans="2:27" hidden="1" x14ac:dyDescent="0.25">
      <c r="B151" s="42"/>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2:27" hidden="1" x14ac:dyDescent="0.25">
      <c r="B152" s="33"/>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2:27" hidden="1" x14ac:dyDescent="0.25">
      <c r="B153" s="46"/>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2:27" hidden="1" x14ac:dyDescent="0.25">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row>
    <row r="155" spans="2:27" hidden="1" x14ac:dyDescent="0.25">
      <c r="B155" s="4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row>
    <row r="156" spans="2:27" hidden="1" x14ac:dyDescent="0.25">
      <c r="B156" s="44"/>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row>
    <row r="157" spans="2:27" hidden="1" x14ac:dyDescent="0.25">
      <c r="B157" s="45"/>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row>
    <row r="158" spans="2:27" hidden="1" x14ac:dyDescent="0.25">
      <c r="B158" s="42"/>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2:27" hidden="1" x14ac:dyDescent="0.25">
      <c r="B159" s="42"/>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2:27" hidden="1" x14ac:dyDescent="0.25">
      <c r="B160" s="42"/>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2:27" hidden="1" x14ac:dyDescent="0.25">
      <c r="B161" s="42"/>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row>
    <row r="162" spans="2:27" hidden="1" x14ac:dyDescent="0.25">
      <c r="B162" s="42"/>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2:27" hidden="1" x14ac:dyDescent="0.25">
      <c r="B163" s="33"/>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2:27" hidden="1" x14ac:dyDescent="0.25">
      <c r="B164" s="46"/>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spans="2:27" hidden="1" x14ac:dyDescent="0.25">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row>
    <row r="166" spans="2:27" hidden="1" x14ac:dyDescent="0.25">
      <c r="B166" s="4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spans="2:27" hidden="1" x14ac:dyDescent="0.25">
      <c r="B167" s="44"/>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row>
    <row r="168" spans="2:27" hidden="1" x14ac:dyDescent="0.25">
      <c r="B168" s="45"/>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row>
    <row r="169" spans="2:27" hidden="1" x14ac:dyDescent="0.25">
      <c r="B169" s="42"/>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2:27" hidden="1" x14ac:dyDescent="0.25">
      <c r="B170" s="42"/>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2:27" hidden="1" x14ac:dyDescent="0.25">
      <c r="B171" s="42"/>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2:27" hidden="1" x14ac:dyDescent="0.25">
      <c r="B172" s="42"/>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row>
    <row r="173" spans="2:27" hidden="1" x14ac:dyDescent="0.25">
      <c r="B173" s="42"/>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2:27" hidden="1" x14ac:dyDescent="0.25">
      <c r="B174" s="33"/>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2:27" hidden="1" x14ac:dyDescent="0.25">
      <c r="B175" s="46"/>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spans="2:27" hidden="1" x14ac:dyDescent="0.25">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row>
    <row r="177" spans="2:27" hidden="1" x14ac:dyDescent="0.25">
      <c r="B177" s="4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row>
    <row r="178" spans="2:27" hidden="1" x14ac:dyDescent="0.25">
      <c r="B178" s="44"/>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row>
    <row r="179" spans="2:27" hidden="1" x14ac:dyDescent="0.25">
      <c r="B179" s="45"/>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spans="2:27" hidden="1" x14ac:dyDescent="0.25">
      <c r="B180" s="42"/>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2:27" hidden="1" x14ac:dyDescent="0.25">
      <c r="B181" s="42"/>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2:27" hidden="1" x14ac:dyDescent="0.25">
      <c r="B182" s="42"/>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2:27" hidden="1" x14ac:dyDescent="0.25">
      <c r="B183" s="42"/>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row>
    <row r="184" spans="2:27" hidden="1" x14ac:dyDescent="0.25">
      <c r="B184" s="42"/>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2:27" hidden="1" x14ac:dyDescent="0.25">
      <c r="B185" s="33"/>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2:27" hidden="1" x14ac:dyDescent="0.25">
      <c r="B186" s="46"/>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spans="2:27" hidden="1" x14ac:dyDescent="0.25">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row>
    <row r="188" spans="2:27" hidden="1" x14ac:dyDescent="0.25">
      <c r="B188" s="4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row>
    <row r="189" spans="2:27" hidden="1" x14ac:dyDescent="0.25">
      <c r="B189" s="44"/>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row>
    <row r="190" spans="2:27" hidden="1" x14ac:dyDescent="0.25">
      <c r="B190" s="45"/>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row>
    <row r="191" spans="2:27" hidden="1" x14ac:dyDescent="0.25">
      <c r="B191" s="42"/>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2:27" hidden="1" x14ac:dyDescent="0.25">
      <c r="B192" s="42"/>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2:27" hidden="1" x14ac:dyDescent="0.25">
      <c r="B193" s="42"/>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2:27" hidden="1" x14ac:dyDescent="0.25">
      <c r="B194" s="42"/>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row>
    <row r="195" spans="2:27" hidden="1" x14ac:dyDescent="0.25">
      <c r="B195" s="42"/>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2:27" hidden="1" x14ac:dyDescent="0.25">
      <c r="B196" s="33"/>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2:27" hidden="1" x14ac:dyDescent="0.25">
      <c r="B197" s="46"/>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spans="2:27" hidden="1" x14ac:dyDescent="0.25">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row>
    <row r="199" spans="2:27" hidden="1" x14ac:dyDescent="0.25">
      <c r="B199" s="4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row>
    <row r="200" spans="2:27" hidden="1" x14ac:dyDescent="0.25">
      <c r="B200" s="44"/>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row>
    <row r="201" spans="2:27" hidden="1" x14ac:dyDescent="0.25">
      <c r="B201" s="45"/>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row>
    <row r="202" spans="2:27" hidden="1" x14ac:dyDescent="0.25">
      <c r="B202" s="42"/>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2:27" hidden="1" x14ac:dyDescent="0.25">
      <c r="B203" s="42"/>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2:27" hidden="1" x14ac:dyDescent="0.25">
      <c r="B204" s="42"/>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2:27" hidden="1" x14ac:dyDescent="0.25">
      <c r="B205" s="42"/>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row>
    <row r="206" spans="2:27" hidden="1" x14ac:dyDescent="0.25">
      <c r="B206" s="42"/>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2:27" hidden="1" x14ac:dyDescent="0.25">
      <c r="B207" s="33"/>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2:27" hidden="1" x14ac:dyDescent="0.25">
      <c r="B208" s="46"/>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spans="2:27" hidden="1" x14ac:dyDescent="0.25">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row>
    <row r="210" spans="2:27" hidden="1" x14ac:dyDescent="0.25">
      <c r="B210" s="4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row>
    <row r="211" spans="2:27" hidden="1" x14ac:dyDescent="0.25">
      <c r="B211" s="44"/>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row>
    <row r="212" spans="2:27" hidden="1" x14ac:dyDescent="0.25">
      <c r="B212" s="45"/>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row>
    <row r="213" spans="2:27" hidden="1" x14ac:dyDescent="0.25">
      <c r="B213" s="42"/>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2:27" hidden="1" x14ac:dyDescent="0.25">
      <c r="B214" s="42"/>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2:27" hidden="1" x14ac:dyDescent="0.25">
      <c r="B215" s="42"/>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2:27" hidden="1" x14ac:dyDescent="0.25">
      <c r="B216" s="42"/>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row>
    <row r="217" spans="2:27" hidden="1" x14ac:dyDescent="0.25">
      <c r="B217" s="42"/>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2:27" hidden="1" x14ac:dyDescent="0.25">
      <c r="B218" s="33"/>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2:27" hidden="1" x14ac:dyDescent="0.25">
      <c r="B219" s="46"/>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7" hidden="1" x14ac:dyDescent="0.25">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row>
    <row r="221" spans="2:27" hidden="1" x14ac:dyDescent="0.25">
      <c r="B221" s="4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row>
    <row r="222" spans="2:27" hidden="1" x14ac:dyDescent="0.25">
      <c r="B222" s="44"/>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row>
    <row r="223" spans="2:27" hidden="1" x14ac:dyDescent="0.25">
      <c r="B223" s="45"/>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spans="2:27" hidden="1" x14ac:dyDescent="0.25">
      <c r="B224" s="42"/>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2:27" hidden="1" x14ac:dyDescent="0.25">
      <c r="B225" s="42"/>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2:27" hidden="1" x14ac:dyDescent="0.25">
      <c r="B226" s="42"/>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2:27" hidden="1" x14ac:dyDescent="0.25">
      <c r="B227" s="42"/>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row>
    <row r="228" spans="2:27" hidden="1" x14ac:dyDescent="0.25">
      <c r="B228" s="42"/>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2:27" hidden="1" x14ac:dyDescent="0.25">
      <c r="B229" s="33"/>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2:27" hidden="1" x14ac:dyDescent="0.25">
      <c r="B230" s="46"/>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spans="2:27" hidden="1" x14ac:dyDescent="0.25">
      <c r="B231" s="24"/>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2:27" hidden="1" x14ac:dyDescent="0.25">
      <c r="B232" s="24"/>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2:27" hidden="1" x14ac:dyDescent="0.25">
      <c r="B233" s="24"/>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2:27" hidden="1" x14ac:dyDescent="0.25">
      <c r="B234" s="24"/>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2:27" hidden="1" x14ac:dyDescent="0.25">
      <c r="B235" s="24"/>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2:27" hidden="1" x14ac:dyDescent="0.25">
      <c r="B236" s="24"/>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sheetData>
  <sheetProtection algorithmName="SHA-512" hashValue="a+itkE5tyXxUmz6xMNoaQyRc9wmU8finY7Tg2J88ofcWu9MrKmbF1UZ/xvTYWM9BX7KF4DP3D/vS2EyHQs3Yzw==" saltValue="o2A4l3RnSnNxL84yodpPsw==" spinCount="100000" sheet="1" objects="1" scenarios="1" selectLockedCells="1"/>
  <mergeCells count="228">
    <mergeCell ref="Y27:AA27"/>
    <mergeCell ref="B116:C116"/>
    <mergeCell ref="B115:C115"/>
    <mergeCell ref="B33:C33"/>
    <mergeCell ref="B34:C34"/>
    <mergeCell ref="B35:C35"/>
    <mergeCell ref="B125:C125"/>
    <mergeCell ref="B124:C124"/>
    <mergeCell ref="B123:C123"/>
    <mergeCell ref="B122:C122"/>
    <mergeCell ref="B121:C121"/>
    <mergeCell ref="B120:C120"/>
    <mergeCell ref="B119:C119"/>
    <mergeCell ref="B118:C118"/>
    <mergeCell ref="B117:C117"/>
    <mergeCell ref="B106:C106"/>
    <mergeCell ref="B107:C107"/>
    <mergeCell ref="B108:C108"/>
    <mergeCell ref="B109:C109"/>
    <mergeCell ref="B110:C110"/>
    <mergeCell ref="B111:C111"/>
    <mergeCell ref="B112:C112"/>
    <mergeCell ref="B113:C113"/>
    <mergeCell ref="B114:C114"/>
    <mergeCell ref="B56:C56"/>
    <mergeCell ref="B55:C55"/>
    <mergeCell ref="B54:C54"/>
    <mergeCell ref="B53:C53"/>
    <mergeCell ref="B97:C97"/>
    <mergeCell ref="B134:C134"/>
    <mergeCell ref="B133:C133"/>
    <mergeCell ref="B132:C132"/>
    <mergeCell ref="B131:C131"/>
    <mergeCell ref="B130:C130"/>
    <mergeCell ref="B129:C129"/>
    <mergeCell ref="B128:C128"/>
    <mergeCell ref="B127:C127"/>
    <mergeCell ref="B126:C126"/>
    <mergeCell ref="B98:C98"/>
    <mergeCell ref="B99:C99"/>
    <mergeCell ref="B100:C100"/>
    <mergeCell ref="B101:C101"/>
    <mergeCell ref="B102:C102"/>
    <mergeCell ref="B103:C103"/>
    <mergeCell ref="B104:C104"/>
    <mergeCell ref="B105:C105"/>
    <mergeCell ref="B52:C52"/>
    <mergeCell ref="B95:C95"/>
    <mergeCell ref="B96:C96"/>
    <mergeCell ref="B94:C94"/>
    <mergeCell ref="B67:C67"/>
    <mergeCell ref="B66:C66"/>
    <mergeCell ref="B65:C65"/>
    <mergeCell ref="B64:C64"/>
    <mergeCell ref="B63:C63"/>
    <mergeCell ref="B62:C62"/>
    <mergeCell ref="B61:C61"/>
    <mergeCell ref="B60:C60"/>
    <mergeCell ref="B59:C59"/>
    <mergeCell ref="B76:C76"/>
    <mergeCell ref="B75:C75"/>
    <mergeCell ref="B74:C74"/>
    <mergeCell ref="B73:C73"/>
    <mergeCell ref="B72:C72"/>
    <mergeCell ref="B71:C71"/>
    <mergeCell ref="B58:C58"/>
    <mergeCell ref="B70:C70"/>
    <mergeCell ref="B69:C69"/>
    <mergeCell ref="B68:C68"/>
    <mergeCell ref="B57:C57"/>
    <mergeCell ref="B42:C42"/>
    <mergeCell ref="B41:C41"/>
    <mergeCell ref="B40:C40"/>
    <mergeCell ref="B39:C39"/>
    <mergeCell ref="B38:C38"/>
    <mergeCell ref="B37:C37"/>
    <mergeCell ref="B36:C36"/>
    <mergeCell ref="B93:C93"/>
    <mergeCell ref="B92:C92"/>
    <mergeCell ref="B91:C91"/>
    <mergeCell ref="B89:C89"/>
    <mergeCell ref="B90:C90"/>
    <mergeCell ref="B88:C88"/>
    <mergeCell ref="B87:C87"/>
    <mergeCell ref="B86:C86"/>
    <mergeCell ref="B85:C85"/>
    <mergeCell ref="B84:C84"/>
    <mergeCell ref="B83:C83"/>
    <mergeCell ref="B82:C82"/>
    <mergeCell ref="B81:C81"/>
    <mergeCell ref="B80:C80"/>
    <mergeCell ref="B79:C79"/>
    <mergeCell ref="B78:C78"/>
    <mergeCell ref="B77:C77"/>
    <mergeCell ref="B50:C50"/>
    <mergeCell ref="B51:C51"/>
    <mergeCell ref="B49:C49"/>
    <mergeCell ref="B48:C48"/>
    <mergeCell ref="B47:C47"/>
    <mergeCell ref="B46:C46"/>
    <mergeCell ref="B45:C45"/>
    <mergeCell ref="B44:C44"/>
    <mergeCell ref="B43:C43"/>
    <mergeCell ref="H131:I131"/>
    <mergeCell ref="H132:I132"/>
    <mergeCell ref="H75:I75"/>
    <mergeCell ref="H74:I74"/>
    <mergeCell ref="H73:I73"/>
    <mergeCell ref="H72:I72"/>
    <mergeCell ref="H130:I130"/>
    <mergeCell ref="H80:I80"/>
    <mergeCell ref="H79:I79"/>
    <mergeCell ref="H78:I78"/>
    <mergeCell ref="H77:I77"/>
    <mergeCell ref="H76:I76"/>
    <mergeCell ref="H85:I85"/>
    <mergeCell ref="H84:I84"/>
    <mergeCell ref="H83:I83"/>
    <mergeCell ref="H82:I82"/>
    <mergeCell ref="H81:I81"/>
    <mergeCell ref="H90:I90"/>
    <mergeCell ref="H89:I89"/>
    <mergeCell ref="H88:I88"/>
    <mergeCell ref="H87:I87"/>
    <mergeCell ref="H86:I86"/>
    <mergeCell ref="H123:I123"/>
    <mergeCell ref="H124:I124"/>
    <mergeCell ref="A1:M1"/>
    <mergeCell ref="A3:H5"/>
    <mergeCell ref="J4:N4"/>
    <mergeCell ref="A13:B13"/>
    <mergeCell ref="L32:N48"/>
    <mergeCell ref="A7:A11"/>
    <mergeCell ref="A18:B18"/>
    <mergeCell ref="A17:B17"/>
    <mergeCell ref="A19:B19"/>
    <mergeCell ref="A12:B12"/>
    <mergeCell ref="A31:E31"/>
    <mergeCell ref="A21:B21"/>
    <mergeCell ref="A22:B22"/>
    <mergeCell ref="A23:B23"/>
    <mergeCell ref="A24:B24"/>
    <mergeCell ref="A25:B25"/>
    <mergeCell ref="A6:B6"/>
    <mergeCell ref="A14:B14"/>
    <mergeCell ref="A16:B16"/>
    <mergeCell ref="A20:B20"/>
    <mergeCell ref="H36:I36"/>
    <mergeCell ref="H37:I37"/>
    <mergeCell ref="H32:I32"/>
    <mergeCell ref="H33:I33"/>
    <mergeCell ref="H135:I135"/>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127:I127"/>
    <mergeCell ref="H128:I128"/>
    <mergeCell ref="H110:I110"/>
    <mergeCell ref="H109:I109"/>
    <mergeCell ref="H108:I108"/>
    <mergeCell ref="H107:I107"/>
    <mergeCell ref="H106:I106"/>
    <mergeCell ref="H93:I93"/>
    <mergeCell ref="H51:I51"/>
    <mergeCell ref="H52:I52"/>
    <mergeCell ref="H53:I53"/>
    <mergeCell ref="H49:I49"/>
    <mergeCell ref="H50:I50"/>
    <mergeCell ref="H119:I119"/>
    <mergeCell ref="H120:I120"/>
    <mergeCell ref="H121:I121"/>
    <mergeCell ref="H122:I122"/>
    <mergeCell ref="H101:I101"/>
    <mergeCell ref="H115:I115"/>
    <mergeCell ref="H112:I112"/>
    <mergeCell ref="H111:I111"/>
    <mergeCell ref="H125:I125"/>
    <mergeCell ref="H92:I92"/>
    <mergeCell ref="H91:I91"/>
    <mergeCell ref="H100:I100"/>
    <mergeCell ref="H99:I99"/>
    <mergeCell ref="H98:I98"/>
    <mergeCell ref="H97:I97"/>
    <mergeCell ref="H96:I96"/>
    <mergeCell ref="H105:I105"/>
    <mergeCell ref="H104:I104"/>
    <mergeCell ref="H103:I103"/>
    <mergeCell ref="H102:I102"/>
    <mergeCell ref="H114:I114"/>
    <mergeCell ref="H113:I113"/>
    <mergeCell ref="H95:I95"/>
    <mergeCell ref="H94:I94"/>
    <mergeCell ref="H34:I34"/>
    <mergeCell ref="H35:I35"/>
    <mergeCell ref="A26:AA26"/>
    <mergeCell ref="H129:I129"/>
    <mergeCell ref="H133:I133"/>
    <mergeCell ref="H134:I134"/>
    <mergeCell ref="H38:I38"/>
    <mergeCell ref="H39:I39"/>
    <mergeCell ref="H40:I40"/>
    <mergeCell ref="H41:I41"/>
    <mergeCell ref="H42:I42"/>
    <mergeCell ref="H43:I43"/>
    <mergeCell ref="H44:I44"/>
    <mergeCell ref="H45:I45"/>
    <mergeCell ref="H46:I46"/>
    <mergeCell ref="H47:I47"/>
    <mergeCell ref="H48:I48"/>
    <mergeCell ref="H126:I126"/>
    <mergeCell ref="H69:I69"/>
    <mergeCell ref="H70:I70"/>
    <mergeCell ref="H71:I71"/>
    <mergeCell ref="H118:I118"/>
    <mergeCell ref="H117:I117"/>
    <mergeCell ref="H116:I116"/>
  </mergeCells>
  <phoneticPr fontId="11" type="noConversion"/>
  <conditionalFormatting sqref="J4:N4">
    <cfRule type="expression" dxfId="0" priority="1">
      <formula>$J$4="korrekt"</formula>
    </cfRule>
  </conditionalFormatting>
  <pageMargins left="0.7" right="0.7" top="0.78740157499999996" bottom="0.78740157499999996" header="0.3" footer="0.3"/>
  <pageSetup paperSize="9" scale="51" orientation="landscape" r:id="rId1"/>
  <rowBreaks count="2" manualBreakCount="2">
    <brk id="26"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locked="0" defaultSize="0" autoFill="0" autoLine="0" autoPict="0">
                <anchor moveWithCells="1">
                  <from>
                    <xdr:col>0</xdr:col>
                    <xdr:colOff>0</xdr:colOff>
                    <xdr:row>28</xdr:row>
                    <xdr:rowOff>0</xdr:rowOff>
                  </from>
                  <to>
                    <xdr:col>6</xdr:col>
                    <xdr:colOff>400050</xdr:colOff>
                    <xdr:row>29</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3BAE8F-0198-4F62-A5DB-7F2C0658249F}">
          <x14:formula1>
            <xm:f>'Hilfstabelle 1'!$A$4:$A$62</xm:f>
          </x14:formula1>
          <xm:sqref>B222 B145 B156 B167 B178 B189 B200 B211</xm:sqref>
        </x14:dataValidation>
        <x14:dataValidation type="list" allowBlank="1" showInputMessage="1" showErrorMessage="1" xr:uid="{A0499C53-11A1-424C-876D-D34C1034379F}">
          <x14:formula1>
            <xm:f>'Hilfstabelle 1'!$A$4:$A$65</xm:f>
          </x14:formula1>
          <xm:sqref>C6:AA6 H35:I134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FEB5A-22FE-4210-9E6C-17F5E4883475}">
  <sheetPr codeName="Tabelle4"/>
  <dimension ref="A1:AD123"/>
  <sheetViews>
    <sheetView topLeftCell="A2" zoomScale="115" zoomScaleNormal="115" workbookViewId="0">
      <selection activeCell="AA14" sqref="AA14"/>
    </sheetView>
  </sheetViews>
  <sheetFormatPr baseColWidth="10" defaultColWidth="11.42578125" defaultRowHeight="15" zeroHeight="1" x14ac:dyDescent="0.25"/>
  <cols>
    <col min="1" max="1" width="28.28515625" customWidth="1"/>
    <col min="2" max="7" width="11.5703125" style="58" customWidth="1"/>
    <col min="8" max="8" width="11.5703125" customWidth="1"/>
    <col min="9" max="19" width="11.42578125" customWidth="1"/>
    <col min="20" max="20" width="28.5703125" customWidth="1"/>
    <col min="22" max="22" width="26.85546875" customWidth="1"/>
    <col min="25" max="25" width="23.140625" customWidth="1"/>
  </cols>
  <sheetData>
    <row r="1" spans="1:24" ht="64.5" customHeight="1" x14ac:dyDescent="0.25">
      <c r="A1" s="444" t="s">
        <v>73</v>
      </c>
      <c r="B1" s="444"/>
      <c r="C1" s="444"/>
      <c r="D1" s="444"/>
      <c r="E1" s="444"/>
      <c r="F1" s="444"/>
      <c r="G1" s="444"/>
      <c r="H1" s="444"/>
      <c r="I1" s="444"/>
      <c r="J1" s="444"/>
      <c r="K1" s="444"/>
      <c r="L1" s="444"/>
      <c r="M1" s="444"/>
      <c r="N1" s="444"/>
      <c r="O1" s="445"/>
      <c r="P1" s="445"/>
      <c r="Q1" s="445"/>
      <c r="R1" s="445"/>
      <c r="S1" s="445"/>
      <c r="T1" s="445"/>
    </row>
    <row r="2" spans="1:24" ht="52.5" customHeight="1" x14ac:dyDescent="0.4">
      <c r="A2" s="448" t="s">
        <v>5</v>
      </c>
      <c r="B2" s="447" t="s">
        <v>19</v>
      </c>
      <c r="C2" s="447"/>
      <c r="D2" s="447"/>
      <c r="E2" s="447"/>
      <c r="F2" s="447"/>
      <c r="G2" s="447"/>
      <c r="H2" s="450" t="s">
        <v>208</v>
      </c>
      <c r="I2" s="446" t="s">
        <v>71</v>
      </c>
      <c r="J2" s="447"/>
      <c r="K2" s="447"/>
      <c r="L2" s="447"/>
      <c r="M2" s="447"/>
      <c r="N2" s="447"/>
      <c r="O2" s="454" t="s">
        <v>90</v>
      </c>
      <c r="P2" s="455"/>
      <c r="Q2" s="455"/>
      <c r="R2" s="455"/>
      <c r="S2" s="455"/>
      <c r="T2" s="455"/>
      <c r="U2" s="455"/>
      <c r="V2" s="446"/>
    </row>
    <row r="3" spans="1:24" ht="46.5" customHeight="1" thickBot="1" x14ac:dyDescent="0.3">
      <c r="A3" s="449"/>
      <c r="B3" s="149">
        <v>2019</v>
      </c>
      <c r="C3" s="149">
        <v>2020</v>
      </c>
      <c r="D3" s="149">
        <v>2021</v>
      </c>
      <c r="E3" s="149">
        <v>2022</v>
      </c>
      <c r="F3" s="149">
        <v>2023</v>
      </c>
      <c r="G3" s="149">
        <v>2024</v>
      </c>
      <c r="H3" s="451"/>
      <c r="I3" s="17">
        <v>2019</v>
      </c>
      <c r="J3" s="149">
        <v>2020</v>
      </c>
      <c r="K3" s="149">
        <v>2021</v>
      </c>
      <c r="L3" s="149">
        <v>2022</v>
      </c>
      <c r="M3" s="149">
        <v>2023</v>
      </c>
      <c r="N3" s="148" t="s">
        <v>207</v>
      </c>
      <c r="O3" s="17">
        <v>2019</v>
      </c>
      <c r="P3" s="149">
        <v>2020</v>
      </c>
      <c r="Q3" s="149">
        <v>2021</v>
      </c>
      <c r="R3" s="149">
        <v>2022</v>
      </c>
      <c r="S3" s="149">
        <v>2023</v>
      </c>
      <c r="T3" s="301" t="s">
        <v>91</v>
      </c>
      <c r="U3" s="307" t="s">
        <v>257</v>
      </c>
      <c r="V3" s="302" t="s">
        <v>91</v>
      </c>
    </row>
    <row r="4" spans="1:24" ht="15.75" customHeight="1" x14ac:dyDescent="0.25">
      <c r="A4" s="1" t="s">
        <v>33</v>
      </c>
      <c r="B4" s="5">
        <v>56.9</v>
      </c>
      <c r="C4" s="5">
        <v>57.48</v>
      </c>
      <c r="D4" s="5">
        <v>52.89</v>
      </c>
      <c r="E4" s="5">
        <v>52.1</v>
      </c>
      <c r="F4" s="5">
        <v>77.81</v>
      </c>
      <c r="G4" s="5">
        <f>(B4+C4+D4)/3</f>
        <v>55.756666666666661</v>
      </c>
      <c r="H4" s="14">
        <f>11.27/2</f>
        <v>5.6349999999999998</v>
      </c>
      <c r="I4" s="128">
        <v>330</v>
      </c>
      <c r="J4" s="129">
        <v>333</v>
      </c>
      <c r="K4" s="129">
        <v>285</v>
      </c>
      <c r="L4" s="129">
        <v>323</v>
      </c>
      <c r="M4" s="129">
        <v>270.10000000000002</v>
      </c>
      <c r="N4" s="137">
        <f>AVERAGE(I4:M4)</f>
        <v>308.21999999999997</v>
      </c>
      <c r="O4" s="37">
        <f>I4*B4</f>
        <v>18777</v>
      </c>
      <c r="P4" s="37">
        <f>J4*C4</f>
        <v>19140.84</v>
      </c>
      <c r="Q4" s="37">
        <f>K4*D4</f>
        <v>15073.65</v>
      </c>
      <c r="R4" s="37">
        <f>L4*E4</f>
        <v>16828.3</v>
      </c>
      <c r="S4" s="37">
        <f>M4*F4</f>
        <v>21016.481000000003</v>
      </c>
      <c r="T4" s="39">
        <f>(SUM(O4:S4)-MIN(O4:S4)-MAX(O4:S4))/3</f>
        <v>18248.713333333333</v>
      </c>
      <c r="U4" s="304">
        <f>AVERAGE(Q4:S4)</f>
        <v>17639.476999999999</v>
      </c>
      <c r="V4" s="304">
        <f>(SUM(O4:S4)-MIN(O4:S4)-MAX(O4:S4))/3</f>
        <v>18248.713333333333</v>
      </c>
      <c r="X4" s="300"/>
    </row>
    <row r="5" spans="1:24" ht="15" customHeight="1" x14ac:dyDescent="0.25">
      <c r="A5" s="10" t="s">
        <v>34</v>
      </c>
      <c r="B5" s="5">
        <v>12.57</v>
      </c>
      <c r="C5" s="5">
        <v>13.47</v>
      </c>
      <c r="D5" s="5">
        <v>12.21</v>
      </c>
      <c r="E5" s="5">
        <v>12.3</v>
      </c>
      <c r="F5" s="5">
        <v>19.690000000000001</v>
      </c>
      <c r="G5" s="5">
        <f>(B5+C5+E5)/3</f>
        <v>12.780000000000001</v>
      </c>
      <c r="H5" s="14">
        <f>1.07/2</f>
        <v>0.53500000000000003</v>
      </c>
      <c r="I5" s="130">
        <v>165</v>
      </c>
      <c r="J5" s="131">
        <v>166.5</v>
      </c>
      <c r="K5" s="131">
        <v>142.5</v>
      </c>
      <c r="L5" s="131">
        <v>161.5</v>
      </c>
      <c r="M5" s="131">
        <v>135.05000000000001</v>
      </c>
      <c r="N5" s="138">
        <f t="shared" ref="N5:N65" si="0">AVERAGE(I5:M5)</f>
        <v>154.10999999999999</v>
      </c>
      <c r="O5" s="36">
        <f t="shared" ref="O5:O64" si="1">I5*B5</f>
        <v>2074.0500000000002</v>
      </c>
      <c r="P5" s="36">
        <f t="shared" ref="P5:P64" si="2">J5*C5</f>
        <v>2242.7550000000001</v>
      </c>
      <c r="Q5" s="36">
        <f t="shared" ref="Q5:Q63" si="3">K5*D5</f>
        <v>1739.9250000000002</v>
      </c>
      <c r="R5" s="36">
        <f t="shared" ref="R5:R64" si="4">L5*E5</f>
        <v>1986.45</v>
      </c>
      <c r="S5" s="36">
        <f t="shared" ref="S5:S64" si="5">M5*F5</f>
        <v>2659.1345000000006</v>
      </c>
      <c r="T5" s="9">
        <f t="shared" ref="T5:T65" si="6">(SUM(O5:S5)-MIN(O5:S5)-MAX(O5:S5))/3</f>
        <v>2101.0850000000005</v>
      </c>
      <c r="U5" s="303">
        <f t="shared" ref="U5:U65" si="7">AVERAGE(Q5:S5)</f>
        <v>2128.5031666666669</v>
      </c>
      <c r="V5" s="303">
        <f t="shared" ref="V5:V65" si="8">(SUM(O5:S5)-MIN(O5:S5)-MAX(O5:S5))/3</f>
        <v>2101.0850000000005</v>
      </c>
      <c r="X5" s="300"/>
    </row>
    <row r="6" spans="1:24" x14ac:dyDescent="0.25">
      <c r="A6" s="2" t="s">
        <v>35</v>
      </c>
      <c r="B6" s="6">
        <v>69.989999999999995</v>
      </c>
      <c r="C6" s="6">
        <v>74.45</v>
      </c>
      <c r="D6" s="6">
        <v>94.61</v>
      </c>
      <c r="E6" s="6">
        <v>91.08</v>
      </c>
      <c r="F6" s="6">
        <v>126.69</v>
      </c>
      <c r="G6" s="5">
        <f>(C6+D6+E6)/3</f>
        <v>86.713333333333324</v>
      </c>
      <c r="H6" s="15">
        <f>9.93/2</f>
        <v>4.9649999999999999</v>
      </c>
      <c r="I6" s="130">
        <v>192</v>
      </c>
      <c r="J6" s="131">
        <v>179</v>
      </c>
      <c r="K6" s="131">
        <v>162</v>
      </c>
      <c r="L6" s="131">
        <v>176</v>
      </c>
      <c r="M6" s="131">
        <v>162.5</v>
      </c>
      <c r="N6" s="138">
        <f t="shared" si="0"/>
        <v>174.3</v>
      </c>
      <c r="O6" s="36">
        <f t="shared" si="1"/>
        <v>13438.079999999998</v>
      </c>
      <c r="P6" s="36">
        <f t="shared" si="2"/>
        <v>13326.550000000001</v>
      </c>
      <c r="Q6" s="36">
        <f t="shared" si="3"/>
        <v>15326.82</v>
      </c>
      <c r="R6" s="36">
        <f t="shared" si="4"/>
        <v>16030.08</v>
      </c>
      <c r="S6" s="36">
        <f t="shared" si="5"/>
        <v>20587.125</v>
      </c>
      <c r="T6" s="9">
        <f t="shared" si="6"/>
        <v>14931.659999999998</v>
      </c>
      <c r="U6" s="303">
        <f t="shared" si="7"/>
        <v>17314.674999999999</v>
      </c>
      <c r="V6" s="303">
        <f t="shared" si="8"/>
        <v>14931.659999999998</v>
      </c>
      <c r="X6" s="300"/>
    </row>
    <row r="7" spans="1:24" x14ac:dyDescent="0.25">
      <c r="A7" s="2" t="s">
        <v>36</v>
      </c>
      <c r="B7" s="6">
        <v>11.31</v>
      </c>
      <c r="C7" s="6">
        <v>9.34</v>
      </c>
      <c r="D7" s="6">
        <v>12.17</v>
      </c>
      <c r="E7" s="6">
        <v>11.34</v>
      </c>
      <c r="F7" s="6">
        <v>19.149999999999999</v>
      </c>
      <c r="G7" s="5">
        <f>(B7+D7+E7)/3</f>
        <v>11.606666666666667</v>
      </c>
      <c r="H7" s="15">
        <f>9.38/2</f>
        <v>4.6900000000000004</v>
      </c>
      <c r="I7" s="130">
        <v>96</v>
      </c>
      <c r="J7" s="131">
        <v>89.5</v>
      </c>
      <c r="K7" s="131">
        <v>81</v>
      </c>
      <c r="L7" s="131">
        <v>88</v>
      </c>
      <c r="M7" s="131">
        <v>81.25</v>
      </c>
      <c r="N7" s="138">
        <f t="shared" si="0"/>
        <v>87.15</v>
      </c>
      <c r="O7" s="36">
        <f t="shared" si="1"/>
        <v>1085.76</v>
      </c>
      <c r="P7" s="36">
        <f t="shared" si="2"/>
        <v>835.93</v>
      </c>
      <c r="Q7" s="36">
        <f t="shared" si="3"/>
        <v>985.77</v>
      </c>
      <c r="R7" s="36">
        <f t="shared" si="4"/>
        <v>997.92</v>
      </c>
      <c r="S7" s="36">
        <f t="shared" si="5"/>
        <v>1555.9374999999998</v>
      </c>
      <c r="T7" s="9">
        <f t="shared" si="6"/>
        <v>1023.15</v>
      </c>
      <c r="U7" s="303">
        <f t="shared" si="7"/>
        <v>1179.8758333333333</v>
      </c>
      <c r="V7" s="303">
        <f t="shared" si="8"/>
        <v>1023.15</v>
      </c>
      <c r="X7" s="300"/>
    </row>
    <row r="8" spans="1:24" x14ac:dyDescent="0.25">
      <c r="A8" s="2" t="s">
        <v>37</v>
      </c>
      <c r="B8" s="6">
        <v>31.86</v>
      </c>
      <c r="C8" s="6">
        <v>35</v>
      </c>
      <c r="D8" s="6">
        <v>53.12</v>
      </c>
      <c r="E8" s="6">
        <v>40.98</v>
      </c>
      <c r="F8" s="6">
        <v>50.01</v>
      </c>
      <c r="G8" s="5">
        <f>(C8+D8+E8)/3</f>
        <v>43.033333333333331</v>
      </c>
      <c r="H8" s="15">
        <f>9.38/2</f>
        <v>4.6900000000000004</v>
      </c>
      <c r="I8" s="130">
        <v>134.39999999999998</v>
      </c>
      <c r="J8" s="131">
        <v>125.3</v>
      </c>
      <c r="K8" s="131">
        <v>113.39999999999999</v>
      </c>
      <c r="L8" s="131">
        <v>123.19999999999999</v>
      </c>
      <c r="M8" s="131">
        <v>113.74999999999999</v>
      </c>
      <c r="N8" s="138">
        <f t="shared" si="0"/>
        <v>122.00999999999999</v>
      </c>
      <c r="O8" s="36">
        <f>I8*B8</f>
        <v>4281.9839999999995</v>
      </c>
      <c r="P8" s="36">
        <f t="shared" si="2"/>
        <v>4385.5</v>
      </c>
      <c r="Q8" s="36">
        <f t="shared" si="3"/>
        <v>6023.8079999999991</v>
      </c>
      <c r="R8" s="36">
        <f t="shared" si="4"/>
        <v>5048.735999999999</v>
      </c>
      <c r="S8" s="36">
        <f t="shared" si="5"/>
        <v>5688.6374999999989</v>
      </c>
      <c r="T8" s="9">
        <f t="shared" si="6"/>
        <v>5040.957833333332</v>
      </c>
      <c r="U8" s="303">
        <f t="shared" si="7"/>
        <v>5587.0604999999996</v>
      </c>
      <c r="V8" s="303">
        <f t="shared" si="8"/>
        <v>5040.957833333332</v>
      </c>
      <c r="X8" s="300"/>
    </row>
    <row r="9" spans="1:24" x14ac:dyDescent="0.25">
      <c r="A9" s="2" t="s">
        <v>38</v>
      </c>
      <c r="B9" s="6">
        <v>228.55</v>
      </c>
      <c r="C9" s="6">
        <v>274.23</v>
      </c>
      <c r="D9" s="6">
        <v>421.12</v>
      </c>
      <c r="E9" s="6">
        <v>111.25</v>
      </c>
      <c r="F9" s="6">
        <v>253.2</v>
      </c>
      <c r="G9" s="5">
        <f>(B9+C9+F9)/3</f>
        <v>251.99333333333334</v>
      </c>
      <c r="H9" s="15">
        <f>59.1/2</f>
        <v>29.55</v>
      </c>
      <c r="I9" s="130">
        <v>131</v>
      </c>
      <c r="J9" s="131">
        <v>124</v>
      </c>
      <c r="K9" s="131">
        <v>38</v>
      </c>
      <c r="L9" s="131">
        <v>49</v>
      </c>
      <c r="M9" s="131">
        <v>37.1</v>
      </c>
      <c r="N9" s="138">
        <f t="shared" si="0"/>
        <v>75.820000000000007</v>
      </c>
      <c r="O9" s="36">
        <f t="shared" si="1"/>
        <v>29940.050000000003</v>
      </c>
      <c r="P9" s="36">
        <f t="shared" si="2"/>
        <v>34004.520000000004</v>
      </c>
      <c r="Q9" s="36">
        <f t="shared" si="3"/>
        <v>16002.56</v>
      </c>
      <c r="R9" s="36">
        <f t="shared" si="4"/>
        <v>5451.25</v>
      </c>
      <c r="S9" s="36">
        <f t="shared" si="5"/>
        <v>9393.7199999999993</v>
      </c>
      <c r="T9" s="9">
        <f t="shared" si="6"/>
        <v>18445.443333333333</v>
      </c>
      <c r="U9" s="303">
        <f t="shared" si="7"/>
        <v>10282.51</v>
      </c>
      <c r="V9" s="303">
        <f t="shared" si="8"/>
        <v>18445.443333333333</v>
      </c>
      <c r="X9" s="300"/>
    </row>
    <row r="10" spans="1:24" x14ac:dyDescent="0.25">
      <c r="A10" s="2" t="s">
        <v>39</v>
      </c>
      <c r="B10" s="6">
        <v>30.04</v>
      </c>
      <c r="C10" s="6">
        <v>36.26</v>
      </c>
      <c r="D10" s="6">
        <v>35.549999999999997</v>
      </c>
      <c r="E10" s="6">
        <v>46.71</v>
      </c>
      <c r="F10" s="6">
        <v>85.15</v>
      </c>
      <c r="G10" s="5">
        <f>(C10+D10+E10)/3</f>
        <v>39.506666666666668</v>
      </c>
      <c r="H10" s="15">
        <f>5.84/2</f>
        <v>2.92</v>
      </c>
      <c r="I10" s="130">
        <v>98.25</v>
      </c>
      <c r="J10" s="131">
        <v>93</v>
      </c>
      <c r="K10" s="131">
        <v>28.5</v>
      </c>
      <c r="L10" s="131">
        <v>36.75</v>
      </c>
      <c r="M10" s="131">
        <v>27.825000000000003</v>
      </c>
      <c r="N10" s="138">
        <f t="shared" si="0"/>
        <v>56.864999999999995</v>
      </c>
      <c r="O10" s="36">
        <f t="shared" si="1"/>
        <v>2951.43</v>
      </c>
      <c r="P10" s="36">
        <f t="shared" si="2"/>
        <v>3372.18</v>
      </c>
      <c r="Q10" s="36">
        <f t="shared" si="3"/>
        <v>1013.175</v>
      </c>
      <c r="R10" s="36">
        <f t="shared" si="4"/>
        <v>1716.5925</v>
      </c>
      <c r="S10" s="36">
        <f t="shared" si="5"/>
        <v>2369.2987500000004</v>
      </c>
      <c r="T10" s="9">
        <f t="shared" si="6"/>
        <v>2345.7737500000003</v>
      </c>
      <c r="U10" s="303">
        <f t="shared" si="7"/>
        <v>1699.68875</v>
      </c>
      <c r="V10" s="303">
        <f t="shared" si="8"/>
        <v>2345.7737500000003</v>
      </c>
      <c r="X10" s="300"/>
    </row>
    <row r="11" spans="1:24" x14ac:dyDescent="0.25">
      <c r="A11" s="2" t="s">
        <v>40</v>
      </c>
      <c r="B11" s="6">
        <v>321.79000000000002</v>
      </c>
      <c r="C11" s="6">
        <v>459.8</v>
      </c>
      <c r="D11" s="6">
        <v>433.44</v>
      </c>
      <c r="E11" s="6">
        <v>302.08999999999997</v>
      </c>
      <c r="F11" s="6">
        <v>533.9</v>
      </c>
      <c r="G11" s="5">
        <f>(B11+C11+D11)/3</f>
        <v>405.01</v>
      </c>
      <c r="H11" s="15">
        <f>95.7/2</f>
        <v>47.85</v>
      </c>
      <c r="I11" s="130">
        <v>84</v>
      </c>
      <c r="J11" s="131">
        <v>74</v>
      </c>
      <c r="K11" s="131">
        <v>45</v>
      </c>
      <c r="L11" s="131">
        <v>71</v>
      </c>
      <c r="M11" s="131">
        <v>53</v>
      </c>
      <c r="N11" s="138">
        <f t="shared" si="0"/>
        <v>65.400000000000006</v>
      </c>
      <c r="O11" s="36">
        <f t="shared" si="1"/>
        <v>27030.36</v>
      </c>
      <c r="P11" s="36">
        <f t="shared" si="2"/>
        <v>34025.200000000004</v>
      </c>
      <c r="Q11" s="36">
        <f t="shared" si="3"/>
        <v>19504.8</v>
      </c>
      <c r="R11" s="36">
        <f t="shared" si="4"/>
        <v>21448.39</v>
      </c>
      <c r="S11" s="36">
        <f t="shared" si="5"/>
        <v>28296.699999999997</v>
      </c>
      <c r="T11" s="9">
        <f t="shared" si="6"/>
        <v>25591.816666666662</v>
      </c>
      <c r="U11" s="303">
        <f t="shared" si="7"/>
        <v>23083.296666666665</v>
      </c>
      <c r="V11" s="303">
        <f t="shared" si="8"/>
        <v>25591.816666666662</v>
      </c>
      <c r="X11" s="300"/>
    </row>
    <row r="12" spans="1:24" x14ac:dyDescent="0.25">
      <c r="A12" s="2" t="s">
        <v>41</v>
      </c>
      <c r="B12" s="6">
        <v>38.229999999999997</v>
      </c>
      <c r="C12" s="6">
        <v>24.63</v>
      </c>
      <c r="D12" s="6">
        <v>31.83</v>
      </c>
      <c r="E12" s="6">
        <v>37.520000000000003</v>
      </c>
      <c r="F12" s="6">
        <v>45.05</v>
      </c>
      <c r="G12" s="5">
        <f>(B12+D12+E12)/3</f>
        <v>35.860000000000007</v>
      </c>
      <c r="H12" s="15">
        <f>6.81/2</f>
        <v>3.4049999999999998</v>
      </c>
      <c r="I12" s="130">
        <v>63</v>
      </c>
      <c r="J12" s="131">
        <v>55.5</v>
      </c>
      <c r="K12" s="131">
        <v>33.75</v>
      </c>
      <c r="L12" s="131">
        <v>53.25</v>
      </c>
      <c r="M12" s="131">
        <v>39.75</v>
      </c>
      <c r="N12" s="138">
        <f t="shared" si="0"/>
        <v>49.05</v>
      </c>
      <c r="O12" s="36">
        <f t="shared" si="1"/>
        <v>2408.4899999999998</v>
      </c>
      <c r="P12" s="36">
        <f t="shared" si="2"/>
        <v>1366.9649999999999</v>
      </c>
      <c r="Q12" s="36">
        <f t="shared" si="3"/>
        <v>1074.2625</v>
      </c>
      <c r="R12" s="36">
        <f t="shared" si="4"/>
        <v>1997.94</v>
      </c>
      <c r="S12" s="36">
        <f t="shared" si="5"/>
        <v>1790.7375</v>
      </c>
      <c r="T12" s="9">
        <f t="shared" si="6"/>
        <v>1718.5474999999997</v>
      </c>
      <c r="U12" s="303">
        <f t="shared" si="7"/>
        <v>1620.9800000000002</v>
      </c>
      <c r="V12" s="303">
        <f t="shared" si="8"/>
        <v>1718.5474999999997</v>
      </c>
      <c r="X12" s="300"/>
    </row>
    <row r="13" spans="1:24" x14ac:dyDescent="0.25">
      <c r="A13" s="2" t="s">
        <v>42</v>
      </c>
      <c r="B13" s="6">
        <v>82.11</v>
      </c>
      <c r="C13" s="6">
        <v>99.78</v>
      </c>
      <c r="D13" s="6">
        <v>101.98</v>
      </c>
      <c r="E13" s="6">
        <v>89.97</v>
      </c>
      <c r="F13" s="6">
        <v>95.78</v>
      </c>
      <c r="G13" s="5">
        <f>(C13+E13+F13)/3</f>
        <v>95.176666666666662</v>
      </c>
      <c r="H13" s="15">
        <f>21.03/2</f>
        <v>10.515000000000001</v>
      </c>
      <c r="I13" s="130">
        <v>99</v>
      </c>
      <c r="J13" s="131">
        <v>117</v>
      </c>
      <c r="K13" s="131">
        <v>56</v>
      </c>
      <c r="L13" s="131">
        <v>108</v>
      </c>
      <c r="M13" s="131">
        <v>109.1</v>
      </c>
      <c r="N13" s="138">
        <f t="shared" si="0"/>
        <v>97.820000000000007</v>
      </c>
      <c r="O13" s="36">
        <f t="shared" si="1"/>
        <v>8128.89</v>
      </c>
      <c r="P13" s="36">
        <f t="shared" si="2"/>
        <v>11674.26</v>
      </c>
      <c r="Q13" s="36">
        <f t="shared" si="3"/>
        <v>5710.88</v>
      </c>
      <c r="R13" s="36">
        <f t="shared" si="4"/>
        <v>9716.76</v>
      </c>
      <c r="S13" s="36">
        <f t="shared" si="5"/>
        <v>10449.598</v>
      </c>
      <c r="T13" s="9">
        <f t="shared" si="6"/>
        <v>9431.7493333333332</v>
      </c>
      <c r="U13" s="303">
        <f t="shared" si="7"/>
        <v>8625.7459999999992</v>
      </c>
      <c r="V13" s="303">
        <f t="shared" si="8"/>
        <v>9431.7493333333332</v>
      </c>
      <c r="X13" s="300"/>
    </row>
    <row r="14" spans="1:24" x14ac:dyDescent="0.25">
      <c r="A14" s="2" t="s">
        <v>43</v>
      </c>
      <c r="B14" s="6">
        <v>28.54</v>
      </c>
      <c r="C14" s="6">
        <v>28.77</v>
      </c>
      <c r="D14" s="6">
        <v>15.64</v>
      </c>
      <c r="E14" s="6">
        <v>25</v>
      </c>
      <c r="F14" s="6">
        <v>46.38</v>
      </c>
      <c r="G14" s="5">
        <f>(B14+C14+E14)/3</f>
        <v>27.436666666666667</v>
      </c>
      <c r="H14" s="15">
        <f>5.41/2</f>
        <v>2.7050000000000001</v>
      </c>
      <c r="I14" s="130">
        <v>79.2</v>
      </c>
      <c r="J14" s="131">
        <v>93.600000000000009</v>
      </c>
      <c r="K14" s="131">
        <v>44.800000000000004</v>
      </c>
      <c r="L14" s="131">
        <v>86.4</v>
      </c>
      <c r="M14" s="131">
        <v>87.28</v>
      </c>
      <c r="N14" s="138">
        <f t="shared" si="0"/>
        <v>78.256</v>
      </c>
      <c r="O14" s="36">
        <f t="shared" si="1"/>
        <v>2260.3679999999999</v>
      </c>
      <c r="P14" s="36">
        <f t="shared" si="2"/>
        <v>2692.8720000000003</v>
      </c>
      <c r="Q14" s="36">
        <f t="shared" si="3"/>
        <v>700.67200000000014</v>
      </c>
      <c r="R14" s="36">
        <f t="shared" si="4"/>
        <v>2160</v>
      </c>
      <c r="S14" s="36">
        <f t="shared" si="5"/>
        <v>4048.0464000000002</v>
      </c>
      <c r="T14" s="9">
        <f t="shared" si="6"/>
        <v>2371.0799999999995</v>
      </c>
      <c r="U14" s="303">
        <f t="shared" si="7"/>
        <v>2302.9061333333334</v>
      </c>
      <c r="V14" s="303">
        <f t="shared" si="8"/>
        <v>2371.0799999999995</v>
      </c>
      <c r="X14" s="300"/>
    </row>
    <row r="15" spans="1:24" x14ac:dyDescent="0.25">
      <c r="A15" s="2" t="s">
        <v>44</v>
      </c>
      <c r="B15" s="6">
        <v>113.3</v>
      </c>
      <c r="C15" s="6">
        <v>214.3</v>
      </c>
      <c r="D15" s="6">
        <v>149.53</v>
      </c>
      <c r="E15" s="6">
        <v>188.24</v>
      </c>
      <c r="F15" s="6">
        <v>138.44999999999999</v>
      </c>
      <c r="G15" s="5">
        <f>(D15+E15+F15)/3</f>
        <v>158.73999999999998</v>
      </c>
      <c r="H15" s="15">
        <f>39.74/2</f>
        <v>19.87</v>
      </c>
      <c r="I15" s="130">
        <v>76.3</v>
      </c>
      <c r="J15" s="131">
        <v>53.5</v>
      </c>
      <c r="K15" s="131">
        <v>56.3</v>
      </c>
      <c r="L15" s="131">
        <v>60.9</v>
      </c>
      <c r="M15" s="131">
        <v>105.5</v>
      </c>
      <c r="N15" s="138">
        <f t="shared" si="0"/>
        <v>70.5</v>
      </c>
      <c r="O15" s="36">
        <f t="shared" si="1"/>
        <v>8644.7899999999991</v>
      </c>
      <c r="P15" s="36">
        <f t="shared" si="2"/>
        <v>11465.050000000001</v>
      </c>
      <c r="Q15" s="36">
        <f t="shared" si="3"/>
        <v>8418.5389999999989</v>
      </c>
      <c r="R15" s="36">
        <f t="shared" si="4"/>
        <v>11463.816000000001</v>
      </c>
      <c r="S15" s="36">
        <f t="shared" si="5"/>
        <v>14606.474999999999</v>
      </c>
      <c r="T15" s="9">
        <f t="shared" si="6"/>
        <v>10524.552000000001</v>
      </c>
      <c r="U15" s="303">
        <f t="shared" si="7"/>
        <v>11496.276666666667</v>
      </c>
      <c r="V15" s="303">
        <f t="shared" si="8"/>
        <v>10524.552000000001</v>
      </c>
      <c r="X15" s="300"/>
    </row>
    <row r="16" spans="1:24" x14ac:dyDescent="0.25">
      <c r="A16" s="2" t="s">
        <v>0</v>
      </c>
      <c r="B16" s="6">
        <v>156.09</v>
      </c>
      <c r="C16" s="6">
        <v>187.77</v>
      </c>
      <c r="D16" s="6">
        <v>191.24</v>
      </c>
      <c r="E16" s="6">
        <v>206.76</v>
      </c>
      <c r="F16" s="6">
        <v>217.24</v>
      </c>
      <c r="G16" s="5">
        <f>(C16+D16+E16)/3</f>
        <v>195.25666666666666</v>
      </c>
      <c r="H16" s="15">
        <f>21.03/2</f>
        <v>10.515000000000001</v>
      </c>
      <c r="I16" s="130">
        <v>131</v>
      </c>
      <c r="J16" s="131">
        <v>124</v>
      </c>
      <c r="K16" s="131">
        <v>38</v>
      </c>
      <c r="L16" s="131">
        <v>49</v>
      </c>
      <c r="M16" s="131">
        <v>37.1</v>
      </c>
      <c r="N16" s="138">
        <f t="shared" si="0"/>
        <v>75.820000000000007</v>
      </c>
      <c r="O16" s="36">
        <f t="shared" si="1"/>
        <v>20447.79</v>
      </c>
      <c r="P16" s="36">
        <f t="shared" si="2"/>
        <v>23283.48</v>
      </c>
      <c r="Q16" s="36">
        <f t="shared" si="3"/>
        <v>7267.1200000000008</v>
      </c>
      <c r="R16" s="36">
        <f t="shared" si="4"/>
        <v>10131.24</v>
      </c>
      <c r="S16" s="36">
        <f t="shared" si="5"/>
        <v>8059.6040000000003</v>
      </c>
      <c r="T16" s="9">
        <f t="shared" si="6"/>
        <v>12879.544666666668</v>
      </c>
      <c r="U16" s="303">
        <f t="shared" si="7"/>
        <v>8485.9879999999994</v>
      </c>
      <c r="V16" s="303">
        <f t="shared" si="8"/>
        <v>12879.544666666668</v>
      </c>
      <c r="X16" s="300"/>
    </row>
    <row r="17" spans="1:30" x14ac:dyDescent="0.25">
      <c r="A17" s="2" t="s">
        <v>1</v>
      </c>
      <c r="B17" s="6">
        <v>201.86</v>
      </c>
      <c r="C17" s="6">
        <v>305.92</v>
      </c>
      <c r="D17" s="6">
        <v>220.21</v>
      </c>
      <c r="E17" s="6">
        <v>292.94</v>
      </c>
      <c r="F17" s="6">
        <v>321.10000000000002</v>
      </c>
      <c r="G17" s="5">
        <f>(C17+D17+E17)/3</f>
        <v>273.02333333333331</v>
      </c>
      <c r="H17" s="15">
        <f>28.52/2</f>
        <v>14.26</v>
      </c>
      <c r="I17" s="130">
        <v>131</v>
      </c>
      <c r="J17" s="131">
        <v>124</v>
      </c>
      <c r="K17" s="131">
        <v>38</v>
      </c>
      <c r="L17" s="131">
        <v>49</v>
      </c>
      <c r="M17" s="131">
        <v>37.1</v>
      </c>
      <c r="N17" s="138">
        <f t="shared" si="0"/>
        <v>75.820000000000007</v>
      </c>
      <c r="O17" s="36">
        <f t="shared" si="1"/>
        <v>26443.660000000003</v>
      </c>
      <c r="P17" s="36">
        <f t="shared" si="2"/>
        <v>37934.080000000002</v>
      </c>
      <c r="Q17" s="36">
        <f t="shared" si="3"/>
        <v>8367.98</v>
      </c>
      <c r="R17" s="36">
        <f t="shared" si="4"/>
        <v>14354.06</v>
      </c>
      <c r="S17" s="36">
        <f t="shared" si="5"/>
        <v>11912.810000000001</v>
      </c>
      <c r="T17" s="9">
        <f t="shared" si="6"/>
        <v>17570.176666666666</v>
      </c>
      <c r="U17" s="303">
        <f t="shared" si="7"/>
        <v>11544.950000000003</v>
      </c>
      <c r="V17" s="303">
        <f t="shared" si="8"/>
        <v>17570.176666666666</v>
      </c>
      <c r="X17" s="300"/>
      <c r="Y17" s="145"/>
    </row>
    <row r="18" spans="1:30" x14ac:dyDescent="0.25">
      <c r="A18" s="2" t="s">
        <v>258</v>
      </c>
      <c r="B18" s="6">
        <v>258.38</v>
      </c>
      <c r="C18" s="6">
        <v>302.52</v>
      </c>
      <c r="D18" s="6">
        <v>266.61</v>
      </c>
      <c r="E18" s="6">
        <v>227.14</v>
      </c>
      <c r="F18" s="6">
        <v>303.86</v>
      </c>
      <c r="G18" s="5">
        <f>(B18+C18+D18)/3</f>
        <v>275.83666666666664</v>
      </c>
      <c r="H18" s="15">
        <f>113.32/2</f>
        <v>56.66</v>
      </c>
      <c r="I18" s="130">
        <v>65.2</v>
      </c>
      <c r="J18" s="131">
        <v>62</v>
      </c>
      <c r="K18" s="131">
        <v>86.7</v>
      </c>
      <c r="L18" s="131">
        <v>86.6</v>
      </c>
      <c r="M18" s="131">
        <v>83.9</v>
      </c>
      <c r="N18" s="138">
        <f t="shared" si="0"/>
        <v>76.88</v>
      </c>
      <c r="O18" s="36">
        <f t="shared" si="1"/>
        <v>16846.376</v>
      </c>
      <c r="P18" s="36">
        <f t="shared" si="2"/>
        <v>18756.239999999998</v>
      </c>
      <c r="Q18" s="36">
        <f t="shared" si="3"/>
        <v>23115.087000000003</v>
      </c>
      <c r="R18" s="36">
        <f t="shared" si="4"/>
        <v>19670.323999999997</v>
      </c>
      <c r="S18" s="36">
        <f t="shared" si="5"/>
        <v>25493.854000000003</v>
      </c>
      <c r="T18" s="9">
        <f t="shared" si="6"/>
        <v>20513.883666666661</v>
      </c>
      <c r="U18" s="303">
        <f t="shared" si="7"/>
        <v>22759.755000000001</v>
      </c>
      <c r="V18" s="303">
        <f t="shared" si="8"/>
        <v>20513.883666666661</v>
      </c>
      <c r="X18" s="300"/>
      <c r="Y18" s="145"/>
      <c r="Z18" s="310">
        <v>2019</v>
      </c>
      <c r="AA18" s="310">
        <v>2020</v>
      </c>
      <c r="AB18" s="310">
        <v>2021</v>
      </c>
      <c r="AC18" s="310">
        <v>2022</v>
      </c>
      <c r="AD18" s="310">
        <v>2023</v>
      </c>
    </row>
    <row r="19" spans="1:30" x14ac:dyDescent="0.25">
      <c r="A19" s="2" t="s">
        <v>259</v>
      </c>
      <c r="B19" s="6">
        <v>37.43</v>
      </c>
      <c r="C19" s="6">
        <v>42.28</v>
      </c>
      <c r="D19" s="6">
        <v>36.409999999999997</v>
      </c>
      <c r="E19" s="6">
        <v>51.35</v>
      </c>
      <c r="F19" s="6">
        <v>37.08</v>
      </c>
      <c r="G19" s="5">
        <f>(B19+C19+D19)/3</f>
        <v>38.706666666666671</v>
      </c>
      <c r="H19" s="15">
        <f>10.96/2</f>
        <v>5.48</v>
      </c>
      <c r="I19" s="308">
        <v>150</v>
      </c>
      <c r="J19" s="309">
        <v>150</v>
      </c>
      <c r="K19" s="309">
        <v>150</v>
      </c>
      <c r="L19" s="309">
        <v>150</v>
      </c>
      <c r="M19" s="309">
        <v>150</v>
      </c>
      <c r="N19" s="138">
        <f t="shared" si="0"/>
        <v>150</v>
      </c>
      <c r="O19" s="36">
        <f t="shared" si="1"/>
        <v>5614.5</v>
      </c>
      <c r="P19" s="36">
        <f t="shared" si="2"/>
        <v>6342</v>
      </c>
      <c r="Q19" s="36">
        <f t="shared" si="3"/>
        <v>5461.4999999999991</v>
      </c>
      <c r="R19" s="36">
        <f t="shared" si="4"/>
        <v>7702.5</v>
      </c>
      <c r="S19" s="36">
        <f t="shared" si="5"/>
        <v>5562</v>
      </c>
      <c r="T19" s="9">
        <f t="shared" si="6"/>
        <v>5839.5</v>
      </c>
      <c r="U19" s="303">
        <f t="shared" si="7"/>
        <v>6242</v>
      </c>
      <c r="V19" s="303">
        <f t="shared" si="8"/>
        <v>5839.5</v>
      </c>
      <c r="X19" s="300"/>
      <c r="Y19" s="145" t="s">
        <v>266</v>
      </c>
      <c r="Z19" s="308">
        <v>22.72</v>
      </c>
      <c r="AA19" s="309">
        <v>32.64</v>
      </c>
      <c r="AB19" s="309">
        <v>39.28</v>
      </c>
      <c r="AC19" s="309">
        <v>43.04</v>
      </c>
      <c r="AD19" s="309">
        <v>26.960000000000004</v>
      </c>
    </row>
    <row r="20" spans="1:30" x14ac:dyDescent="0.25">
      <c r="A20" s="2" t="s">
        <v>260</v>
      </c>
      <c r="B20" s="6">
        <v>512.52</v>
      </c>
      <c r="C20" s="6">
        <v>540.16999999999996</v>
      </c>
      <c r="D20" s="6">
        <v>549.51</v>
      </c>
      <c r="E20" s="6">
        <v>542.12</v>
      </c>
      <c r="F20" s="6">
        <v>602.55999999999995</v>
      </c>
      <c r="G20" s="5">
        <f>(C20+D20+E20)/3</f>
        <v>543.93333333333328</v>
      </c>
      <c r="H20" s="15">
        <f>113.32/2</f>
        <v>56.66</v>
      </c>
      <c r="I20" s="130">
        <v>28.4</v>
      </c>
      <c r="J20" s="131">
        <v>40.799999999999997</v>
      </c>
      <c r="K20" s="131">
        <v>49.1</v>
      </c>
      <c r="L20" s="131">
        <v>53.8</v>
      </c>
      <c r="M20" s="131">
        <v>33.700000000000003</v>
      </c>
      <c r="N20" s="138">
        <f t="shared" si="0"/>
        <v>41.159999999999989</v>
      </c>
      <c r="O20" s="36">
        <f t="shared" si="1"/>
        <v>14555.567999999999</v>
      </c>
      <c r="P20" s="36">
        <f t="shared" si="2"/>
        <v>22038.935999999998</v>
      </c>
      <c r="Q20" s="36">
        <f t="shared" si="3"/>
        <v>26980.940999999999</v>
      </c>
      <c r="R20" s="36">
        <f t="shared" si="4"/>
        <v>29166.056</v>
      </c>
      <c r="S20" s="36">
        <f t="shared" si="5"/>
        <v>20306.272000000001</v>
      </c>
      <c r="T20" s="9">
        <f t="shared" si="6"/>
        <v>23108.716333333334</v>
      </c>
      <c r="U20" s="303">
        <f t="shared" si="7"/>
        <v>25484.422999999999</v>
      </c>
      <c r="V20" s="303">
        <f t="shared" si="8"/>
        <v>23108.716333333334</v>
      </c>
      <c r="X20" s="300"/>
      <c r="Y20" s="145"/>
    </row>
    <row r="21" spans="1:30" x14ac:dyDescent="0.25">
      <c r="A21" s="2" t="s">
        <v>261</v>
      </c>
      <c r="B21" s="6">
        <v>39.979999999999997</v>
      </c>
      <c r="C21" s="6">
        <v>86.62</v>
      </c>
      <c r="D21" s="6">
        <v>83.67</v>
      </c>
      <c r="E21" s="6">
        <v>126.28</v>
      </c>
      <c r="F21" s="6">
        <v>84.21</v>
      </c>
      <c r="G21" s="5">
        <f>(C21+D21+F21)/3</f>
        <v>84.833333333333329</v>
      </c>
      <c r="H21" s="15">
        <f>10.96/2</f>
        <v>5.48</v>
      </c>
      <c r="I21" s="308">
        <v>60</v>
      </c>
      <c r="J21" s="309">
        <v>60</v>
      </c>
      <c r="K21" s="309">
        <v>60</v>
      </c>
      <c r="L21" s="309">
        <v>60</v>
      </c>
      <c r="M21" s="309">
        <v>60</v>
      </c>
      <c r="N21" s="138">
        <f t="shared" si="0"/>
        <v>60</v>
      </c>
      <c r="O21" s="36">
        <f t="shared" si="1"/>
        <v>2398.7999999999997</v>
      </c>
      <c r="P21" s="36">
        <f t="shared" si="2"/>
        <v>5197.2000000000007</v>
      </c>
      <c r="Q21" s="36">
        <f t="shared" si="3"/>
        <v>5020.2</v>
      </c>
      <c r="R21" s="36">
        <f t="shared" si="4"/>
        <v>7576.8</v>
      </c>
      <c r="S21" s="36">
        <f t="shared" si="5"/>
        <v>5052.5999999999995</v>
      </c>
      <c r="T21" s="9">
        <f t="shared" si="6"/>
        <v>5090</v>
      </c>
      <c r="U21" s="303">
        <f t="shared" si="7"/>
        <v>5883.2</v>
      </c>
      <c r="V21" s="303">
        <f t="shared" si="8"/>
        <v>5090</v>
      </c>
      <c r="X21" s="300"/>
      <c r="Y21" s="145" t="s">
        <v>266</v>
      </c>
      <c r="Z21" s="130">
        <v>22.72</v>
      </c>
      <c r="AA21" s="131">
        <v>32.64</v>
      </c>
      <c r="AB21" s="131">
        <v>39.28</v>
      </c>
      <c r="AC21" s="131">
        <v>43.04</v>
      </c>
      <c r="AD21" s="131">
        <v>26.960000000000004</v>
      </c>
    </row>
    <row r="22" spans="1:30" x14ac:dyDescent="0.25">
      <c r="A22" s="2" t="s">
        <v>2</v>
      </c>
      <c r="B22" s="6">
        <v>314.02</v>
      </c>
      <c r="C22" s="6">
        <v>317.95</v>
      </c>
      <c r="D22" s="6">
        <v>382.04</v>
      </c>
      <c r="E22" s="6">
        <v>321.22000000000003</v>
      </c>
      <c r="F22" s="6">
        <v>393.45</v>
      </c>
      <c r="G22" s="5">
        <f>(C22+D22+E22)/3</f>
        <v>340.40333333333336</v>
      </c>
      <c r="H22" s="15">
        <f>137.01/2</f>
        <v>68.504999999999995</v>
      </c>
      <c r="I22" s="130">
        <v>55.9</v>
      </c>
      <c r="J22" s="131">
        <v>51</v>
      </c>
      <c r="K22" s="131">
        <v>38.700000000000003</v>
      </c>
      <c r="L22" s="131">
        <v>46.5</v>
      </c>
      <c r="M22" s="131">
        <v>51.6</v>
      </c>
      <c r="N22" s="138">
        <f t="shared" si="0"/>
        <v>48.74</v>
      </c>
      <c r="O22" s="36">
        <f t="shared" si="1"/>
        <v>17553.717999999997</v>
      </c>
      <c r="P22" s="36">
        <f t="shared" si="2"/>
        <v>16215.449999999999</v>
      </c>
      <c r="Q22" s="36">
        <f t="shared" si="3"/>
        <v>14784.948000000002</v>
      </c>
      <c r="R22" s="36">
        <f t="shared" si="4"/>
        <v>14936.730000000001</v>
      </c>
      <c r="S22" s="36">
        <f t="shared" si="5"/>
        <v>20302.02</v>
      </c>
      <c r="T22" s="9">
        <f t="shared" si="6"/>
        <v>16235.299333333334</v>
      </c>
      <c r="U22" s="303">
        <f t="shared" si="7"/>
        <v>16674.566000000003</v>
      </c>
      <c r="V22" s="303">
        <f t="shared" si="8"/>
        <v>16235.299333333334</v>
      </c>
      <c r="X22" s="300"/>
      <c r="Y22" s="145"/>
    </row>
    <row r="23" spans="1:30" x14ac:dyDescent="0.25">
      <c r="A23" s="2" t="s">
        <v>45</v>
      </c>
      <c r="B23" s="6">
        <v>537.01</v>
      </c>
      <c r="C23" s="6">
        <v>730.33</v>
      </c>
      <c r="D23" s="6">
        <v>672.16</v>
      </c>
      <c r="E23" s="6">
        <v>717.1</v>
      </c>
      <c r="F23" s="6">
        <v>721.36</v>
      </c>
      <c r="G23" s="5">
        <f>(D23+E23+F23)/3</f>
        <v>703.54</v>
      </c>
      <c r="H23" s="15">
        <f>333.52/2</f>
        <v>166.76</v>
      </c>
      <c r="I23" s="130">
        <v>57</v>
      </c>
      <c r="J23" s="131">
        <v>38.200000000000003</v>
      </c>
      <c r="K23" s="131">
        <v>36.9</v>
      </c>
      <c r="L23" s="131">
        <v>35.299999999999997</v>
      </c>
      <c r="M23" s="131">
        <v>45.6</v>
      </c>
      <c r="N23" s="138">
        <f t="shared" si="0"/>
        <v>42.599999999999994</v>
      </c>
      <c r="O23" s="36">
        <f t="shared" si="1"/>
        <v>30609.57</v>
      </c>
      <c r="P23" s="36">
        <f t="shared" si="2"/>
        <v>27898.606000000003</v>
      </c>
      <c r="Q23" s="36">
        <f t="shared" si="3"/>
        <v>24802.703999999998</v>
      </c>
      <c r="R23" s="36">
        <f t="shared" si="4"/>
        <v>25313.629999999997</v>
      </c>
      <c r="S23" s="36">
        <f t="shared" si="5"/>
        <v>32894.016000000003</v>
      </c>
      <c r="T23" s="9">
        <f t="shared" si="6"/>
        <v>27940.602000000003</v>
      </c>
      <c r="U23" s="303">
        <f t="shared" si="7"/>
        <v>27670.116666666669</v>
      </c>
      <c r="V23" s="303">
        <f t="shared" si="8"/>
        <v>27940.602000000003</v>
      </c>
      <c r="X23" s="300"/>
      <c r="Y23" s="145"/>
    </row>
    <row r="24" spans="1:30" x14ac:dyDescent="0.25">
      <c r="A24" s="2" t="s">
        <v>46</v>
      </c>
      <c r="B24" s="6">
        <v>528.02</v>
      </c>
      <c r="C24" s="6">
        <v>615.48</v>
      </c>
      <c r="D24" s="6">
        <v>666.89</v>
      </c>
      <c r="E24" s="6">
        <v>655.54</v>
      </c>
      <c r="F24" s="6">
        <v>882.04</v>
      </c>
      <c r="G24" s="5">
        <f>(C24+D24+E24)/3</f>
        <v>645.96999999999991</v>
      </c>
      <c r="H24" s="15">
        <f>224.54/2</f>
        <v>112.27</v>
      </c>
      <c r="I24" s="130">
        <v>75.8001</v>
      </c>
      <c r="J24" s="131">
        <v>75.599999999999994</v>
      </c>
      <c r="K24" s="131">
        <v>65.099999999999994</v>
      </c>
      <c r="L24" s="131">
        <v>75.8</v>
      </c>
      <c r="M24" s="131">
        <v>64.099999999999994</v>
      </c>
      <c r="N24" s="138">
        <f t="shared" si="0"/>
        <v>71.280019999999993</v>
      </c>
      <c r="O24" s="36">
        <f t="shared" si="1"/>
        <v>40023.968801999996</v>
      </c>
      <c r="P24" s="36">
        <f t="shared" si="2"/>
        <v>46530.288</v>
      </c>
      <c r="Q24" s="36">
        <f t="shared" si="3"/>
        <v>43414.538999999997</v>
      </c>
      <c r="R24" s="36">
        <f t="shared" si="4"/>
        <v>49689.931999999993</v>
      </c>
      <c r="S24" s="36">
        <f t="shared" si="5"/>
        <v>56538.763999999996</v>
      </c>
      <c r="T24" s="9">
        <f t="shared" si="6"/>
        <v>46544.919666666661</v>
      </c>
      <c r="U24" s="303">
        <f t="shared" si="7"/>
        <v>49881.078333333331</v>
      </c>
      <c r="V24" s="303">
        <f t="shared" si="8"/>
        <v>46544.919666666661</v>
      </c>
      <c r="X24" s="300"/>
      <c r="Y24" s="145"/>
    </row>
    <row r="25" spans="1:30" x14ac:dyDescent="0.25">
      <c r="A25" s="2" t="s">
        <v>47</v>
      </c>
      <c r="B25" s="6">
        <v>523.88</v>
      </c>
      <c r="C25" s="6">
        <v>694.42</v>
      </c>
      <c r="D25" s="6">
        <v>668.82</v>
      </c>
      <c r="E25" s="6">
        <v>634.36</v>
      </c>
      <c r="F25" s="6">
        <v>803.28</v>
      </c>
      <c r="G25" s="5">
        <f>(C25+D25+E25)/3</f>
        <v>665.86666666666667</v>
      </c>
      <c r="H25" s="15">
        <f>191.92/2</f>
        <v>95.96</v>
      </c>
      <c r="I25" s="130">
        <v>37.700000000000003</v>
      </c>
      <c r="J25" s="131">
        <v>40.200000000000003</v>
      </c>
      <c r="K25" s="131">
        <v>36</v>
      </c>
      <c r="L25" s="131">
        <v>36.5</v>
      </c>
      <c r="M25" s="131">
        <v>33.9</v>
      </c>
      <c r="N25" s="138">
        <f t="shared" si="0"/>
        <v>36.86</v>
      </c>
      <c r="O25" s="36">
        <f t="shared" si="1"/>
        <v>19750.276000000002</v>
      </c>
      <c r="P25" s="36">
        <f t="shared" si="2"/>
        <v>27915.684000000001</v>
      </c>
      <c r="Q25" s="36">
        <f t="shared" si="3"/>
        <v>24077.52</v>
      </c>
      <c r="R25" s="36">
        <f t="shared" si="4"/>
        <v>23154.14</v>
      </c>
      <c r="S25" s="36">
        <f t="shared" si="5"/>
        <v>27231.191999999999</v>
      </c>
      <c r="T25" s="9">
        <f t="shared" si="6"/>
        <v>24820.950666666671</v>
      </c>
      <c r="U25" s="303">
        <f t="shared" si="7"/>
        <v>24820.950666666668</v>
      </c>
      <c r="V25" s="303">
        <f t="shared" si="8"/>
        <v>24820.950666666671</v>
      </c>
      <c r="X25" s="300"/>
      <c r="Y25" s="145"/>
    </row>
    <row r="26" spans="1:30" x14ac:dyDescent="0.25">
      <c r="A26" s="2" t="s">
        <v>3</v>
      </c>
      <c r="B26" s="6">
        <v>750</v>
      </c>
      <c r="C26" s="6">
        <v>750</v>
      </c>
      <c r="D26" s="6">
        <v>750</v>
      </c>
      <c r="E26" s="6">
        <v>750</v>
      </c>
      <c r="F26" s="6">
        <v>750</v>
      </c>
      <c r="G26" s="5">
        <f>(B26+C26+D26)/3</f>
        <v>750</v>
      </c>
      <c r="H26" s="15">
        <f>137.01/2</f>
        <v>68.504999999999995</v>
      </c>
      <c r="I26" s="130">
        <v>91</v>
      </c>
      <c r="J26" s="131">
        <v>91</v>
      </c>
      <c r="K26" s="131">
        <v>91</v>
      </c>
      <c r="L26" s="131">
        <v>91</v>
      </c>
      <c r="M26" s="131">
        <v>91</v>
      </c>
      <c r="N26" s="138">
        <f t="shared" si="0"/>
        <v>91</v>
      </c>
      <c r="O26" s="36">
        <f t="shared" si="1"/>
        <v>68250</v>
      </c>
      <c r="P26" s="36">
        <f t="shared" si="2"/>
        <v>68250</v>
      </c>
      <c r="Q26" s="36">
        <f t="shared" si="3"/>
        <v>68250</v>
      </c>
      <c r="R26" s="36">
        <f t="shared" si="4"/>
        <v>68250</v>
      </c>
      <c r="S26" s="36">
        <f t="shared" si="5"/>
        <v>68250</v>
      </c>
      <c r="T26" s="9">
        <f t="shared" si="6"/>
        <v>68250</v>
      </c>
      <c r="U26" s="303">
        <f t="shared" si="7"/>
        <v>68250</v>
      </c>
      <c r="V26" s="303">
        <f t="shared" si="8"/>
        <v>68250</v>
      </c>
      <c r="X26" s="300"/>
      <c r="Y26" s="145"/>
    </row>
    <row r="27" spans="1:30" x14ac:dyDescent="0.25">
      <c r="A27" s="2" t="s">
        <v>74</v>
      </c>
      <c r="B27" s="6">
        <v>251.4</v>
      </c>
      <c r="C27" s="6">
        <v>337.28</v>
      </c>
      <c r="D27" s="6">
        <v>310.16000000000003</v>
      </c>
      <c r="E27" s="6">
        <v>287.54000000000002</v>
      </c>
      <c r="F27" s="6">
        <v>331.1</v>
      </c>
      <c r="G27" s="5">
        <f>(D27+E27+F27)/3</f>
        <v>309.60000000000002</v>
      </c>
      <c r="H27" s="15">
        <f>111.3/2</f>
        <v>55.65</v>
      </c>
      <c r="I27" s="130">
        <v>103.9</v>
      </c>
      <c r="J27" s="131">
        <v>105</v>
      </c>
      <c r="K27" s="131">
        <v>91.2</v>
      </c>
      <c r="L27" s="131">
        <v>97.6</v>
      </c>
      <c r="M27" s="131">
        <v>99.8</v>
      </c>
      <c r="N27" s="138">
        <f t="shared" si="0"/>
        <v>99.500000000000014</v>
      </c>
      <c r="O27" s="36">
        <f t="shared" si="1"/>
        <v>26120.460000000003</v>
      </c>
      <c r="P27" s="36">
        <f t="shared" si="2"/>
        <v>35414.399999999994</v>
      </c>
      <c r="Q27" s="36">
        <f t="shared" si="3"/>
        <v>28286.592000000004</v>
      </c>
      <c r="R27" s="36">
        <f t="shared" si="4"/>
        <v>28063.903999999999</v>
      </c>
      <c r="S27" s="36">
        <f t="shared" si="5"/>
        <v>33043.78</v>
      </c>
      <c r="T27" s="9">
        <f t="shared" si="6"/>
        <v>29798.092000000001</v>
      </c>
      <c r="U27" s="303">
        <f t="shared" si="7"/>
        <v>29798.092000000001</v>
      </c>
      <c r="V27" s="303">
        <f t="shared" si="8"/>
        <v>29798.092000000001</v>
      </c>
      <c r="X27" s="300"/>
      <c r="Y27" s="145"/>
    </row>
    <row r="28" spans="1:30" x14ac:dyDescent="0.25">
      <c r="A28" s="2" t="s">
        <v>75</v>
      </c>
      <c r="B28" s="6">
        <v>251.4</v>
      </c>
      <c r="C28" s="6">
        <v>337.28</v>
      </c>
      <c r="D28" s="6">
        <v>310.16000000000003</v>
      </c>
      <c r="E28" s="6">
        <v>287.54000000000002</v>
      </c>
      <c r="F28" s="6">
        <v>331.1</v>
      </c>
      <c r="G28" s="5">
        <f>(D28+E28+F28)/3</f>
        <v>309.60000000000002</v>
      </c>
      <c r="H28" s="15">
        <v>0</v>
      </c>
      <c r="I28" s="130">
        <v>83.12</v>
      </c>
      <c r="J28" s="131">
        <v>84</v>
      </c>
      <c r="K28" s="131">
        <v>72.960000000000008</v>
      </c>
      <c r="L28" s="131">
        <v>78.08</v>
      </c>
      <c r="M28" s="131">
        <v>79.84</v>
      </c>
      <c r="N28" s="138">
        <f>AVERAGE(I28:M28)</f>
        <v>79.599999999999994</v>
      </c>
      <c r="O28" s="36">
        <f t="shared" si="1"/>
        <v>20896.368000000002</v>
      </c>
      <c r="P28" s="36">
        <f t="shared" si="2"/>
        <v>28331.519999999997</v>
      </c>
      <c r="Q28" s="36">
        <f t="shared" si="3"/>
        <v>22629.273600000004</v>
      </c>
      <c r="R28" s="36">
        <f t="shared" si="4"/>
        <v>22451.123200000002</v>
      </c>
      <c r="S28" s="36">
        <f t="shared" si="5"/>
        <v>26435.024000000001</v>
      </c>
      <c r="T28" s="9">
        <f t="shared" si="6"/>
        <v>23838.473600000008</v>
      </c>
      <c r="U28" s="303">
        <f t="shared" si="7"/>
        <v>23838.473600000001</v>
      </c>
      <c r="V28" s="303">
        <f t="shared" si="8"/>
        <v>23838.473600000008</v>
      </c>
      <c r="X28" s="300"/>
      <c r="Y28" s="145"/>
    </row>
    <row r="29" spans="1:30" x14ac:dyDescent="0.25">
      <c r="A29" s="2" t="s">
        <v>48</v>
      </c>
      <c r="B29" s="6">
        <v>46.27</v>
      </c>
      <c r="C29" s="6">
        <v>42.93</v>
      </c>
      <c r="D29" s="6">
        <v>46.76</v>
      </c>
      <c r="E29" s="6">
        <v>62.18</v>
      </c>
      <c r="F29" s="6">
        <v>56.15</v>
      </c>
      <c r="G29" s="5">
        <f>(B29+D29+F29)/3</f>
        <v>49.726666666666667</v>
      </c>
      <c r="H29" s="15">
        <f>38.57/2</f>
        <v>19.285</v>
      </c>
      <c r="I29" s="130">
        <v>83.12</v>
      </c>
      <c r="J29" s="131">
        <v>84</v>
      </c>
      <c r="K29" s="131">
        <v>72.960000000000008</v>
      </c>
      <c r="L29" s="131">
        <v>78.08</v>
      </c>
      <c r="M29" s="131">
        <v>79.84</v>
      </c>
      <c r="N29" s="138">
        <f t="shared" si="0"/>
        <v>79.599999999999994</v>
      </c>
      <c r="O29" s="36">
        <f t="shared" si="1"/>
        <v>3845.9624000000003</v>
      </c>
      <c r="P29" s="36">
        <f t="shared" si="2"/>
        <v>3606.12</v>
      </c>
      <c r="Q29" s="36">
        <f t="shared" si="3"/>
        <v>3411.6096000000002</v>
      </c>
      <c r="R29" s="36">
        <f t="shared" si="4"/>
        <v>4855.0144</v>
      </c>
      <c r="S29" s="36">
        <f t="shared" si="5"/>
        <v>4483.0160000000005</v>
      </c>
      <c r="T29" s="9">
        <f t="shared" si="6"/>
        <v>3978.3661333333343</v>
      </c>
      <c r="U29" s="303">
        <f t="shared" si="7"/>
        <v>4249.88</v>
      </c>
      <c r="V29" s="303">
        <f t="shared" si="8"/>
        <v>3978.3661333333343</v>
      </c>
      <c r="X29" s="300"/>
      <c r="Y29" s="145"/>
    </row>
    <row r="30" spans="1:30" x14ac:dyDescent="0.25">
      <c r="A30" s="2" t="s">
        <v>49</v>
      </c>
      <c r="B30" s="6">
        <v>394.99</v>
      </c>
      <c r="C30" s="6">
        <v>315.25</v>
      </c>
      <c r="D30" s="6">
        <v>388.28</v>
      </c>
      <c r="E30" s="6">
        <v>287.52999999999997</v>
      </c>
      <c r="F30" s="6">
        <v>346.5</v>
      </c>
      <c r="G30" s="5">
        <f>(C30+D30+F30)/3</f>
        <v>350.01</v>
      </c>
      <c r="H30" s="15">
        <f>33.98/2</f>
        <v>16.989999999999998</v>
      </c>
      <c r="I30" s="130">
        <v>15</v>
      </c>
      <c r="J30" s="131">
        <v>15</v>
      </c>
      <c r="K30" s="131">
        <v>15</v>
      </c>
      <c r="L30" s="131">
        <v>15</v>
      </c>
      <c r="M30" s="131">
        <v>15</v>
      </c>
      <c r="N30" s="138">
        <f t="shared" si="0"/>
        <v>15</v>
      </c>
      <c r="O30" s="36">
        <f t="shared" si="1"/>
        <v>5924.85</v>
      </c>
      <c r="P30" s="36">
        <f t="shared" si="2"/>
        <v>4728.75</v>
      </c>
      <c r="Q30" s="36">
        <f t="shared" si="3"/>
        <v>5824.2</v>
      </c>
      <c r="R30" s="36">
        <f t="shared" si="4"/>
        <v>4312.95</v>
      </c>
      <c r="S30" s="36">
        <f t="shared" si="5"/>
        <v>5197.5</v>
      </c>
      <c r="T30" s="9">
        <f t="shared" si="6"/>
        <v>5250.15</v>
      </c>
      <c r="U30" s="303">
        <f t="shared" si="7"/>
        <v>5111.55</v>
      </c>
      <c r="V30" s="303">
        <f t="shared" si="8"/>
        <v>5250.15</v>
      </c>
      <c r="X30" s="300"/>
      <c r="Y30" s="145"/>
    </row>
    <row r="31" spans="1:30" x14ac:dyDescent="0.25">
      <c r="A31" s="2" t="s">
        <v>50</v>
      </c>
      <c r="B31" s="6">
        <v>150</v>
      </c>
      <c r="C31" s="6">
        <v>180</v>
      </c>
      <c r="D31" s="6">
        <v>210</v>
      </c>
      <c r="E31" s="6">
        <v>250</v>
      </c>
      <c r="F31" s="6">
        <v>300</v>
      </c>
      <c r="G31" s="5">
        <f>(C31+D31+E31)/3</f>
        <v>213.33333333333334</v>
      </c>
      <c r="H31" s="15">
        <f>30.24/2</f>
        <v>15.12</v>
      </c>
      <c r="I31" s="130">
        <v>200</v>
      </c>
      <c r="J31" s="131">
        <v>200</v>
      </c>
      <c r="K31" s="131">
        <v>200</v>
      </c>
      <c r="L31" s="131">
        <v>200</v>
      </c>
      <c r="M31" s="131">
        <v>200</v>
      </c>
      <c r="N31" s="138">
        <f>AVERAGE(I31:M31)</f>
        <v>200</v>
      </c>
      <c r="O31" s="36">
        <f t="shared" si="1"/>
        <v>30000</v>
      </c>
      <c r="P31" s="36">
        <f t="shared" si="2"/>
        <v>36000</v>
      </c>
      <c r="Q31" s="36">
        <f t="shared" si="3"/>
        <v>42000</v>
      </c>
      <c r="R31" s="36">
        <f t="shared" si="4"/>
        <v>50000</v>
      </c>
      <c r="S31" s="36">
        <f t="shared" si="5"/>
        <v>60000</v>
      </c>
      <c r="T31" s="9">
        <f>(SUM(O31:S31)-MIN(O31:S31)-MAX(O31:S31))/3</f>
        <v>42666.666666666664</v>
      </c>
      <c r="U31" s="303">
        <f t="shared" si="7"/>
        <v>50666.666666666664</v>
      </c>
      <c r="V31" s="303">
        <f t="shared" si="8"/>
        <v>42666.666666666664</v>
      </c>
      <c r="X31" s="300"/>
      <c r="Y31" s="145"/>
    </row>
    <row r="32" spans="1:30" x14ac:dyDescent="0.25">
      <c r="A32" s="124" t="s">
        <v>209</v>
      </c>
      <c r="B32" s="125">
        <v>55</v>
      </c>
      <c r="C32" s="125">
        <v>56.1</v>
      </c>
      <c r="D32" s="125">
        <v>57.22</v>
      </c>
      <c r="E32" s="125">
        <v>58.37</v>
      </c>
      <c r="F32" s="125">
        <v>59.54</v>
      </c>
      <c r="G32" s="11">
        <v>60.73</v>
      </c>
      <c r="H32" s="127">
        <v>5.48</v>
      </c>
      <c r="I32" s="132">
        <v>90</v>
      </c>
      <c r="J32" s="133">
        <v>90</v>
      </c>
      <c r="K32" s="133">
        <v>90</v>
      </c>
      <c r="L32" s="133">
        <v>90</v>
      </c>
      <c r="M32" s="133">
        <v>90</v>
      </c>
      <c r="N32" s="138">
        <f>AVERAGE(I32:M32)</f>
        <v>90</v>
      </c>
      <c r="O32" s="36">
        <f t="shared" si="1"/>
        <v>4950</v>
      </c>
      <c r="P32" s="36">
        <f t="shared" si="2"/>
        <v>5049</v>
      </c>
      <c r="Q32" s="36">
        <f t="shared" si="3"/>
        <v>5149.8</v>
      </c>
      <c r="R32" s="36">
        <f t="shared" si="4"/>
        <v>5253.3</v>
      </c>
      <c r="S32" s="36">
        <f t="shared" si="5"/>
        <v>5358.6</v>
      </c>
      <c r="T32" s="9">
        <f t="shared" ref="T32:T34" si="9">(SUM(O32:S32)-MIN(O32:S32)-MAX(O32:S32))/3</f>
        <v>5150.6999999999989</v>
      </c>
      <c r="U32" s="303">
        <f t="shared" si="7"/>
        <v>5253.9000000000005</v>
      </c>
      <c r="V32" s="303">
        <f t="shared" si="8"/>
        <v>5150.6999999999989</v>
      </c>
      <c r="X32" s="300"/>
      <c r="Y32" s="145"/>
    </row>
    <row r="33" spans="1:25" x14ac:dyDescent="0.25">
      <c r="A33" s="124" t="s">
        <v>210</v>
      </c>
      <c r="B33" s="125">
        <v>44</v>
      </c>
      <c r="C33" s="125">
        <v>44.88</v>
      </c>
      <c r="D33" s="125">
        <v>45.78</v>
      </c>
      <c r="E33" s="125">
        <v>46.7</v>
      </c>
      <c r="F33" s="125">
        <v>47.63</v>
      </c>
      <c r="G33" s="126">
        <v>48.58</v>
      </c>
      <c r="H33" s="127">
        <v>5.6349999999999998</v>
      </c>
      <c r="I33" s="132">
        <v>200</v>
      </c>
      <c r="J33" s="133">
        <v>200</v>
      </c>
      <c r="K33" s="133">
        <v>200</v>
      </c>
      <c r="L33" s="133">
        <v>200</v>
      </c>
      <c r="M33" s="133">
        <v>200</v>
      </c>
      <c r="N33" s="138">
        <f t="shared" si="0"/>
        <v>200</v>
      </c>
      <c r="O33" s="36">
        <f t="shared" si="1"/>
        <v>8800</v>
      </c>
      <c r="P33" s="36">
        <f t="shared" si="2"/>
        <v>8976</v>
      </c>
      <c r="Q33" s="36">
        <f t="shared" si="3"/>
        <v>9156</v>
      </c>
      <c r="R33" s="36">
        <f t="shared" si="4"/>
        <v>9340</v>
      </c>
      <c r="S33" s="36">
        <f t="shared" si="5"/>
        <v>9526</v>
      </c>
      <c r="T33" s="9">
        <f t="shared" si="9"/>
        <v>9157.3333333333339</v>
      </c>
      <c r="U33" s="303">
        <f t="shared" si="7"/>
        <v>9340.6666666666661</v>
      </c>
      <c r="V33" s="303">
        <f t="shared" si="8"/>
        <v>9157.3333333333339</v>
      </c>
      <c r="X33" s="300"/>
      <c r="Y33" s="145"/>
    </row>
    <row r="34" spans="1:25" ht="15.75" thickBot="1" x14ac:dyDescent="0.3">
      <c r="A34" s="3"/>
      <c r="B34" s="7"/>
      <c r="C34" s="7"/>
      <c r="D34" s="7"/>
      <c r="E34" s="7"/>
      <c r="F34" s="7"/>
      <c r="G34" s="7"/>
      <c r="H34" s="16"/>
      <c r="I34" s="134"/>
      <c r="J34" s="135"/>
      <c r="K34" s="135"/>
      <c r="L34" s="135"/>
      <c r="M34" s="135"/>
      <c r="N34" s="139" t="e">
        <f t="shared" si="0"/>
        <v>#DIV/0!</v>
      </c>
      <c r="O34" s="38"/>
      <c r="P34" s="38"/>
      <c r="Q34" s="38"/>
      <c r="R34" s="38"/>
      <c r="S34" s="38"/>
      <c r="T34" s="305">
        <f t="shared" si="9"/>
        <v>0</v>
      </c>
      <c r="U34" s="306" t="e">
        <f t="shared" si="7"/>
        <v>#DIV/0!</v>
      </c>
      <c r="V34" s="306">
        <f t="shared" si="8"/>
        <v>0</v>
      </c>
      <c r="X34" s="300"/>
      <c r="Y34" s="145"/>
    </row>
    <row r="35" spans="1:25" x14ac:dyDescent="0.25">
      <c r="A35" s="1" t="s">
        <v>51</v>
      </c>
      <c r="B35" s="5">
        <v>113.37</v>
      </c>
      <c r="C35" s="5">
        <v>127.15</v>
      </c>
      <c r="D35" s="5">
        <v>109.18</v>
      </c>
      <c r="E35" s="5">
        <v>91.12</v>
      </c>
      <c r="F35" s="5">
        <v>112.22</v>
      </c>
      <c r="G35" s="5">
        <f>(B35+D35+F35)/3</f>
        <v>111.58999999999999</v>
      </c>
      <c r="H35" s="14">
        <f>11.27/2</f>
        <v>5.6349999999999998</v>
      </c>
      <c r="I35" s="128">
        <v>247.5</v>
      </c>
      <c r="J35" s="129">
        <v>249.75</v>
      </c>
      <c r="K35" s="129">
        <v>213.75</v>
      </c>
      <c r="L35" s="129">
        <v>242.25</v>
      </c>
      <c r="M35" s="129">
        <v>202.57500000000002</v>
      </c>
      <c r="N35" s="137">
        <f t="shared" si="0"/>
        <v>231.16500000000002</v>
      </c>
      <c r="O35" s="37">
        <f t="shared" si="1"/>
        <v>28059.075000000001</v>
      </c>
      <c r="P35" s="37">
        <f t="shared" si="2"/>
        <v>31755.712500000001</v>
      </c>
      <c r="Q35" s="37">
        <f t="shared" si="3"/>
        <v>23337.225000000002</v>
      </c>
      <c r="R35" s="37">
        <f t="shared" si="4"/>
        <v>22073.82</v>
      </c>
      <c r="S35" s="37">
        <f t="shared" si="5"/>
        <v>22732.966500000002</v>
      </c>
      <c r="T35" s="39">
        <f t="shared" si="6"/>
        <v>24709.75550000001</v>
      </c>
      <c r="U35" s="304">
        <f t="shared" si="7"/>
        <v>22714.670499999997</v>
      </c>
      <c r="V35" s="304">
        <f t="shared" si="8"/>
        <v>24709.75550000001</v>
      </c>
      <c r="X35" s="300"/>
      <c r="Y35" s="145"/>
    </row>
    <row r="36" spans="1:25" x14ac:dyDescent="0.25">
      <c r="A36" s="1" t="s">
        <v>52</v>
      </c>
      <c r="B36" s="5">
        <v>22.6</v>
      </c>
      <c r="C36" s="5">
        <v>18.75</v>
      </c>
      <c r="D36" s="5">
        <v>20.53</v>
      </c>
      <c r="E36" s="5">
        <v>19.13</v>
      </c>
      <c r="F36" s="5">
        <v>22.9</v>
      </c>
      <c r="G36" s="5">
        <f>(B36+D36+E36)/3</f>
        <v>20.753333333333334</v>
      </c>
      <c r="H36" s="14">
        <f>1.07/2</f>
        <v>0.53500000000000003</v>
      </c>
      <c r="I36" s="130">
        <v>165</v>
      </c>
      <c r="J36" s="131">
        <v>166.5</v>
      </c>
      <c r="K36" s="131">
        <v>142.5</v>
      </c>
      <c r="L36" s="131">
        <v>161.5</v>
      </c>
      <c r="M36" s="131">
        <v>135.05000000000001</v>
      </c>
      <c r="N36" s="138">
        <f t="shared" si="0"/>
        <v>154.10999999999999</v>
      </c>
      <c r="O36" s="36">
        <f t="shared" si="1"/>
        <v>3729.0000000000005</v>
      </c>
      <c r="P36" s="36">
        <f t="shared" si="2"/>
        <v>3121.875</v>
      </c>
      <c r="Q36" s="36">
        <f t="shared" si="3"/>
        <v>2925.5250000000001</v>
      </c>
      <c r="R36" s="36">
        <f t="shared" si="4"/>
        <v>3089.4949999999999</v>
      </c>
      <c r="S36" s="36">
        <f t="shared" si="5"/>
        <v>3092.645</v>
      </c>
      <c r="T36" s="9">
        <f t="shared" si="6"/>
        <v>3101.3383333333336</v>
      </c>
      <c r="U36" s="303">
        <f t="shared" si="7"/>
        <v>3035.8883333333338</v>
      </c>
      <c r="V36" s="303">
        <f t="shared" si="8"/>
        <v>3101.3383333333336</v>
      </c>
      <c r="X36" s="300"/>
      <c r="Y36" s="145"/>
    </row>
    <row r="37" spans="1:25" x14ac:dyDescent="0.25">
      <c r="A37" s="2" t="s">
        <v>53</v>
      </c>
      <c r="B37" s="6">
        <v>104.62</v>
      </c>
      <c r="C37" s="6">
        <v>124.36</v>
      </c>
      <c r="D37" s="6">
        <v>130.53</v>
      </c>
      <c r="E37" s="6">
        <v>105.78</v>
      </c>
      <c r="F37" s="6">
        <v>123.18</v>
      </c>
      <c r="G37" s="5">
        <f>(C37+E37+F37)/3</f>
        <v>117.77333333333333</v>
      </c>
      <c r="H37" s="15">
        <f>9.93/2</f>
        <v>4.9649999999999999</v>
      </c>
      <c r="I37" s="130">
        <v>96</v>
      </c>
      <c r="J37" s="131">
        <v>89.5</v>
      </c>
      <c r="K37" s="131">
        <v>81</v>
      </c>
      <c r="L37" s="131">
        <v>88</v>
      </c>
      <c r="M37" s="131">
        <v>81.25</v>
      </c>
      <c r="N37" s="138">
        <f t="shared" si="0"/>
        <v>87.15</v>
      </c>
      <c r="O37" s="36">
        <f t="shared" si="1"/>
        <v>10043.52</v>
      </c>
      <c r="P37" s="36">
        <f t="shared" si="2"/>
        <v>11130.22</v>
      </c>
      <c r="Q37" s="36">
        <f t="shared" si="3"/>
        <v>10572.93</v>
      </c>
      <c r="R37" s="36">
        <f t="shared" si="4"/>
        <v>9308.64</v>
      </c>
      <c r="S37" s="36">
        <f t="shared" si="5"/>
        <v>10008.375</v>
      </c>
      <c r="T37" s="9">
        <f t="shared" si="6"/>
        <v>10208.275</v>
      </c>
      <c r="U37" s="303">
        <f t="shared" si="7"/>
        <v>9963.3150000000005</v>
      </c>
      <c r="V37" s="303">
        <f t="shared" si="8"/>
        <v>10208.275</v>
      </c>
      <c r="X37" s="300"/>
      <c r="Y37" s="145"/>
    </row>
    <row r="38" spans="1:25" x14ac:dyDescent="0.25">
      <c r="A38" s="2" t="s">
        <v>54</v>
      </c>
      <c r="B38" s="6">
        <v>23.82</v>
      </c>
      <c r="C38" s="6">
        <v>16.32</v>
      </c>
      <c r="D38" s="6">
        <v>23.11</v>
      </c>
      <c r="E38" s="6">
        <v>20.05</v>
      </c>
      <c r="F38" s="6">
        <v>23.35</v>
      </c>
      <c r="G38" s="5">
        <f>(D38+E38+F38)/3</f>
        <v>22.169999999999998</v>
      </c>
      <c r="H38" s="15">
        <f>9.38/2</f>
        <v>4.6900000000000004</v>
      </c>
      <c r="I38" s="130">
        <v>96</v>
      </c>
      <c r="J38" s="131">
        <v>89.5</v>
      </c>
      <c r="K38" s="131">
        <v>81</v>
      </c>
      <c r="L38" s="131">
        <v>88</v>
      </c>
      <c r="M38" s="131">
        <v>81.25</v>
      </c>
      <c r="N38" s="138">
        <f t="shared" si="0"/>
        <v>87.15</v>
      </c>
      <c r="O38" s="36">
        <f t="shared" si="1"/>
        <v>2286.7200000000003</v>
      </c>
      <c r="P38" s="36">
        <f t="shared" si="2"/>
        <v>1460.64</v>
      </c>
      <c r="Q38" s="36">
        <f t="shared" si="3"/>
        <v>1871.9099999999999</v>
      </c>
      <c r="R38" s="36">
        <f t="shared" si="4"/>
        <v>1764.4</v>
      </c>
      <c r="S38" s="36">
        <f t="shared" si="5"/>
        <v>1897.1875000000002</v>
      </c>
      <c r="T38" s="9">
        <f t="shared" si="6"/>
        <v>1844.4991666666665</v>
      </c>
      <c r="U38" s="303">
        <f t="shared" si="7"/>
        <v>1844.4991666666667</v>
      </c>
      <c r="V38" s="303">
        <f t="shared" si="8"/>
        <v>1844.4991666666665</v>
      </c>
      <c r="X38" s="300"/>
      <c r="Y38" s="145"/>
    </row>
    <row r="39" spans="1:25" x14ac:dyDescent="0.25">
      <c r="A39" s="2" t="s">
        <v>55</v>
      </c>
      <c r="B39" s="6">
        <v>55.76</v>
      </c>
      <c r="C39" s="6">
        <v>61.25</v>
      </c>
      <c r="D39" s="6">
        <v>92.96</v>
      </c>
      <c r="E39" s="6">
        <v>71.72</v>
      </c>
      <c r="F39" s="6">
        <v>87.52</v>
      </c>
      <c r="G39" s="5">
        <f>(C39+E39+F39)/3</f>
        <v>73.49666666666667</v>
      </c>
      <c r="H39" s="15">
        <f>9.38/2</f>
        <v>4.6900000000000004</v>
      </c>
      <c r="I39" s="130">
        <v>96</v>
      </c>
      <c r="J39" s="131">
        <v>89.5</v>
      </c>
      <c r="K39" s="131">
        <v>81</v>
      </c>
      <c r="L39" s="131">
        <v>88</v>
      </c>
      <c r="M39" s="131">
        <v>81.25</v>
      </c>
      <c r="N39" s="138">
        <f t="shared" si="0"/>
        <v>87.15</v>
      </c>
      <c r="O39" s="36">
        <f t="shared" si="1"/>
        <v>5352.96</v>
      </c>
      <c r="P39" s="36">
        <f t="shared" si="2"/>
        <v>5481.875</v>
      </c>
      <c r="Q39" s="36">
        <f t="shared" si="3"/>
        <v>7529.7599999999993</v>
      </c>
      <c r="R39" s="36">
        <f t="shared" si="4"/>
        <v>6311.36</v>
      </c>
      <c r="S39" s="36">
        <f t="shared" si="5"/>
        <v>7111</v>
      </c>
      <c r="T39" s="9">
        <f t="shared" si="6"/>
        <v>6301.4116666666669</v>
      </c>
      <c r="U39" s="303">
        <f t="shared" si="7"/>
        <v>6984.04</v>
      </c>
      <c r="V39" s="303">
        <f t="shared" si="8"/>
        <v>6301.4116666666669</v>
      </c>
      <c r="X39" s="300"/>
      <c r="Y39" s="145"/>
    </row>
    <row r="40" spans="1:25" x14ac:dyDescent="0.25">
      <c r="A40" s="2" t="s">
        <v>56</v>
      </c>
      <c r="B40" s="6">
        <v>342.83</v>
      </c>
      <c r="C40" s="6">
        <v>411.35</v>
      </c>
      <c r="D40" s="6">
        <v>631.67999999999995</v>
      </c>
      <c r="E40" s="6">
        <v>166.88</v>
      </c>
      <c r="F40" s="6">
        <v>379.8</v>
      </c>
      <c r="G40" s="5">
        <f>(B40+C40+F40)/3</f>
        <v>377.99333333333334</v>
      </c>
      <c r="H40" s="15">
        <f>59.1/2</f>
        <v>29.55</v>
      </c>
      <c r="I40" s="130">
        <v>78.599999999999994</v>
      </c>
      <c r="J40" s="131">
        <v>74.399999999999991</v>
      </c>
      <c r="K40" s="131">
        <v>22.8</v>
      </c>
      <c r="L40" s="131">
        <v>29.4</v>
      </c>
      <c r="M40" s="131">
        <v>22.26</v>
      </c>
      <c r="N40" s="138">
        <f t="shared" si="0"/>
        <v>45.492000000000004</v>
      </c>
      <c r="O40" s="36">
        <f t="shared" si="1"/>
        <v>26946.437999999998</v>
      </c>
      <c r="P40" s="36">
        <f t="shared" si="2"/>
        <v>30604.44</v>
      </c>
      <c r="Q40" s="36">
        <f t="shared" si="3"/>
        <v>14402.304</v>
      </c>
      <c r="R40" s="36">
        <f t="shared" si="4"/>
        <v>4906.2719999999999</v>
      </c>
      <c r="S40" s="36">
        <f t="shared" si="5"/>
        <v>8454.348</v>
      </c>
      <c r="T40" s="9">
        <f t="shared" si="6"/>
        <v>16601.03</v>
      </c>
      <c r="U40" s="303">
        <f t="shared" si="7"/>
        <v>9254.3079999999991</v>
      </c>
      <c r="V40" s="303">
        <f t="shared" si="8"/>
        <v>16601.03</v>
      </c>
      <c r="X40" s="300"/>
      <c r="Y40" s="145"/>
    </row>
    <row r="41" spans="1:25" x14ac:dyDescent="0.25">
      <c r="A41" s="2" t="s">
        <v>57</v>
      </c>
      <c r="B41" s="6">
        <v>51.07</v>
      </c>
      <c r="C41" s="6">
        <v>61.64</v>
      </c>
      <c r="D41" s="6">
        <v>60.44</v>
      </c>
      <c r="E41" s="6">
        <v>79.41</v>
      </c>
      <c r="F41" s="6">
        <v>144.76</v>
      </c>
      <c r="G41" s="5">
        <f>(C41+D41+E41)/3</f>
        <v>67.163333333333341</v>
      </c>
      <c r="H41" s="15">
        <f>5.84/2</f>
        <v>2.92</v>
      </c>
      <c r="I41" s="130">
        <v>58.949999999999996</v>
      </c>
      <c r="J41" s="131">
        <v>55.8</v>
      </c>
      <c r="K41" s="131">
        <v>17.099999999999998</v>
      </c>
      <c r="L41" s="131">
        <v>22.05</v>
      </c>
      <c r="M41" s="131">
        <v>16.695</v>
      </c>
      <c r="N41" s="138">
        <f t="shared" si="0"/>
        <v>34.119</v>
      </c>
      <c r="O41" s="36">
        <f t="shared" si="1"/>
        <v>3010.5764999999997</v>
      </c>
      <c r="P41" s="36">
        <f t="shared" si="2"/>
        <v>3439.5119999999997</v>
      </c>
      <c r="Q41" s="36">
        <f t="shared" si="3"/>
        <v>1033.5239999999999</v>
      </c>
      <c r="R41" s="36">
        <f t="shared" si="4"/>
        <v>1750.9904999999999</v>
      </c>
      <c r="S41" s="36">
        <f t="shared" si="5"/>
        <v>2416.7682</v>
      </c>
      <c r="T41" s="9">
        <f t="shared" si="6"/>
        <v>2392.7784000000001</v>
      </c>
      <c r="U41" s="303">
        <f t="shared" si="7"/>
        <v>1733.7609</v>
      </c>
      <c r="V41" s="303">
        <f t="shared" si="8"/>
        <v>2392.7784000000001</v>
      </c>
      <c r="X41" s="300"/>
      <c r="Y41" s="145"/>
    </row>
    <row r="42" spans="1:25" x14ac:dyDescent="0.25">
      <c r="A42" s="2" t="s">
        <v>58</v>
      </c>
      <c r="B42" s="6">
        <v>674.3</v>
      </c>
      <c r="C42" s="6">
        <v>604.03</v>
      </c>
      <c r="D42" s="6">
        <v>517.67999999999995</v>
      </c>
      <c r="E42" s="6">
        <v>624.88</v>
      </c>
      <c r="F42" s="6">
        <v>421.79</v>
      </c>
      <c r="G42" s="5">
        <f>(C42+D42+E42)/3</f>
        <v>582.19666666666672</v>
      </c>
      <c r="H42" s="15">
        <f>95.7/2</f>
        <v>47.85</v>
      </c>
      <c r="I42" s="130">
        <v>50.4</v>
      </c>
      <c r="J42" s="131">
        <v>44.4</v>
      </c>
      <c r="K42" s="131">
        <v>27</v>
      </c>
      <c r="L42" s="131">
        <v>42.6</v>
      </c>
      <c r="M42" s="131">
        <v>31.799999999999997</v>
      </c>
      <c r="N42" s="138">
        <f t="shared" si="0"/>
        <v>39.239999999999995</v>
      </c>
      <c r="O42" s="36">
        <f t="shared" si="1"/>
        <v>33984.719999999994</v>
      </c>
      <c r="P42" s="36">
        <f t="shared" si="2"/>
        <v>26818.931999999997</v>
      </c>
      <c r="Q42" s="36">
        <f t="shared" si="3"/>
        <v>13977.359999999999</v>
      </c>
      <c r="R42" s="36">
        <f t="shared" si="4"/>
        <v>26619.887999999999</v>
      </c>
      <c r="S42" s="36">
        <f t="shared" si="5"/>
        <v>13412.921999999999</v>
      </c>
      <c r="T42" s="9">
        <f t="shared" si="6"/>
        <v>22472.059999999998</v>
      </c>
      <c r="U42" s="303">
        <f t="shared" si="7"/>
        <v>18003.39</v>
      </c>
      <c r="V42" s="303">
        <f t="shared" si="8"/>
        <v>22472.059999999998</v>
      </c>
      <c r="X42" s="300"/>
      <c r="Y42" s="145"/>
    </row>
    <row r="43" spans="1:25" x14ac:dyDescent="0.25">
      <c r="A43" s="2" t="s">
        <v>59</v>
      </c>
      <c r="B43" s="6">
        <v>57.35</v>
      </c>
      <c r="C43" s="6">
        <v>36.950000000000003</v>
      </c>
      <c r="D43" s="6">
        <v>47.75</v>
      </c>
      <c r="E43" s="6">
        <v>56.28</v>
      </c>
      <c r="F43" s="6">
        <v>67.58</v>
      </c>
      <c r="G43" s="5">
        <f>(B43+D43+E43)/3</f>
        <v>53.793333333333329</v>
      </c>
      <c r="H43" s="15">
        <f>6.81/2</f>
        <v>3.4049999999999998</v>
      </c>
      <c r="I43" s="130">
        <v>37.799999999999997</v>
      </c>
      <c r="J43" s="131">
        <v>33.299999999999997</v>
      </c>
      <c r="K43" s="131">
        <v>20.25</v>
      </c>
      <c r="L43" s="131">
        <v>31.95</v>
      </c>
      <c r="M43" s="131">
        <v>23.849999999999998</v>
      </c>
      <c r="N43" s="138">
        <f t="shared" si="0"/>
        <v>29.43</v>
      </c>
      <c r="O43" s="36">
        <f t="shared" si="1"/>
        <v>2167.83</v>
      </c>
      <c r="P43" s="36">
        <f t="shared" si="2"/>
        <v>1230.4349999999999</v>
      </c>
      <c r="Q43" s="36">
        <f t="shared" si="3"/>
        <v>966.9375</v>
      </c>
      <c r="R43" s="36">
        <f t="shared" si="4"/>
        <v>1798.146</v>
      </c>
      <c r="S43" s="36">
        <f t="shared" si="5"/>
        <v>1611.7829999999999</v>
      </c>
      <c r="T43" s="9">
        <f t="shared" si="6"/>
        <v>1546.7879999999998</v>
      </c>
      <c r="U43" s="303">
        <f t="shared" si="7"/>
        <v>1458.9555</v>
      </c>
      <c r="V43" s="303">
        <f t="shared" si="8"/>
        <v>1546.7879999999998</v>
      </c>
      <c r="X43" s="300"/>
      <c r="Y43" s="145"/>
    </row>
    <row r="44" spans="1:25" x14ac:dyDescent="0.25">
      <c r="A44" s="2" t="s">
        <v>60</v>
      </c>
      <c r="B44" s="6">
        <v>135.46</v>
      </c>
      <c r="C44" s="6">
        <v>173.13</v>
      </c>
      <c r="D44" s="6">
        <v>178.02</v>
      </c>
      <c r="E44" s="6">
        <v>167.29</v>
      </c>
      <c r="F44" s="6">
        <v>162.63</v>
      </c>
      <c r="G44" s="5">
        <f>(C44+E44+F44)/3</f>
        <v>167.68333333333331</v>
      </c>
      <c r="H44" s="15">
        <f>21.03/2</f>
        <v>10.515000000000001</v>
      </c>
      <c r="I44" s="130">
        <v>59.4</v>
      </c>
      <c r="J44" s="131">
        <v>70.2</v>
      </c>
      <c r="K44" s="131">
        <v>33.6</v>
      </c>
      <c r="L44" s="131">
        <v>64.8</v>
      </c>
      <c r="M44" s="131">
        <v>65.459999999999994</v>
      </c>
      <c r="N44" s="138">
        <f t="shared" si="0"/>
        <v>58.691999999999993</v>
      </c>
      <c r="O44" s="36">
        <f t="shared" si="1"/>
        <v>8046.3240000000005</v>
      </c>
      <c r="P44" s="36">
        <f t="shared" si="2"/>
        <v>12153.726000000001</v>
      </c>
      <c r="Q44" s="36">
        <f t="shared" si="3"/>
        <v>5981.4720000000007</v>
      </c>
      <c r="R44" s="36">
        <f t="shared" si="4"/>
        <v>10840.392</v>
      </c>
      <c r="S44" s="36">
        <f t="shared" si="5"/>
        <v>10645.759799999998</v>
      </c>
      <c r="T44" s="9">
        <f t="shared" si="6"/>
        <v>9844.1586000000007</v>
      </c>
      <c r="U44" s="303">
        <f t="shared" si="7"/>
        <v>9155.874600000001</v>
      </c>
      <c r="V44" s="303">
        <f t="shared" si="8"/>
        <v>9844.1586000000007</v>
      </c>
      <c r="X44" s="300"/>
      <c r="Y44" s="145"/>
    </row>
    <row r="45" spans="1:25" x14ac:dyDescent="0.25">
      <c r="A45" s="2" t="s">
        <v>61</v>
      </c>
      <c r="B45" s="6">
        <v>49.66</v>
      </c>
      <c r="C45" s="6">
        <v>50.06</v>
      </c>
      <c r="D45" s="6">
        <v>27.21</v>
      </c>
      <c r="E45" s="6">
        <v>43.5</v>
      </c>
      <c r="F45" s="6">
        <v>80.7</v>
      </c>
      <c r="G45" s="5">
        <f>(B45+C45+E45)/3</f>
        <v>47.74</v>
      </c>
      <c r="H45" s="15">
        <f>5.41/2</f>
        <v>2.7050000000000001</v>
      </c>
      <c r="I45" s="130">
        <v>47.52</v>
      </c>
      <c r="J45" s="131">
        <v>56.160000000000004</v>
      </c>
      <c r="K45" s="131">
        <v>26.880000000000003</v>
      </c>
      <c r="L45" s="131">
        <v>51.84</v>
      </c>
      <c r="M45" s="131">
        <v>52.367999999999995</v>
      </c>
      <c r="N45" s="138">
        <f t="shared" si="0"/>
        <v>46.953600000000002</v>
      </c>
      <c r="O45" s="36">
        <f t="shared" si="1"/>
        <v>2359.8431999999998</v>
      </c>
      <c r="P45" s="36">
        <f t="shared" si="2"/>
        <v>2811.3696000000004</v>
      </c>
      <c r="Q45" s="36">
        <f t="shared" si="3"/>
        <v>731.40480000000014</v>
      </c>
      <c r="R45" s="36">
        <f t="shared" si="4"/>
        <v>2255.04</v>
      </c>
      <c r="S45" s="36">
        <f t="shared" si="5"/>
        <v>4226.0976000000001</v>
      </c>
      <c r="T45" s="9">
        <f t="shared" si="6"/>
        <v>2475.4175999999998</v>
      </c>
      <c r="U45" s="303">
        <f t="shared" si="7"/>
        <v>2404.1808000000001</v>
      </c>
      <c r="V45" s="303">
        <f t="shared" si="8"/>
        <v>2475.4175999999998</v>
      </c>
      <c r="X45" s="300"/>
      <c r="Y45" s="145"/>
    </row>
    <row r="46" spans="1:25" x14ac:dyDescent="0.25">
      <c r="A46" s="2" t="s">
        <v>62</v>
      </c>
      <c r="B46" s="6">
        <v>180</v>
      </c>
      <c r="C46" s="6">
        <v>195</v>
      </c>
      <c r="D46" s="6">
        <v>210</v>
      </c>
      <c r="E46" s="6">
        <v>250</v>
      </c>
      <c r="F46" s="6">
        <v>270</v>
      </c>
      <c r="G46" s="5">
        <f>(C46+D46+E46)/3</f>
        <v>218.33333333333334</v>
      </c>
      <c r="H46" s="15">
        <f>39.74/2</f>
        <v>19.87</v>
      </c>
      <c r="I46" s="130">
        <v>45.779999999999994</v>
      </c>
      <c r="J46" s="131">
        <v>32.1</v>
      </c>
      <c r="K46" s="131">
        <v>33.779999999999994</v>
      </c>
      <c r="L46" s="131">
        <v>36.54</v>
      </c>
      <c r="M46" s="131">
        <v>63.3</v>
      </c>
      <c r="N46" s="138">
        <f t="shared" si="0"/>
        <v>42.3</v>
      </c>
      <c r="O46" s="36">
        <f t="shared" si="1"/>
        <v>8240.4</v>
      </c>
      <c r="P46" s="36">
        <f t="shared" si="2"/>
        <v>6259.5</v>
      </c>
      <c r="Q46" s="36">
        <f t="shared" si="3"/>
        <v>7093.7999999999984</v>
      </c>
      <c r="R46" s="36">
        <f t="shared" si="4"/>
        <v>9135</v>
      </c>
      <c r="S46" s="36">
        <f t="shared" si="5"/>
        <v>17091</v>
      </c>
      <c r="T46" s="9">
        <f t="shared" si="6"/>
        <v>8156.3999999999987</v>
      </c>
      <c r="U46" s="303">
        <f t="shared" si="7"/>
        <v>11106.6</v>
      </c>
      <c r="V46" s="303">
        <f t="shared" si="8"/>
        <v>8156.3999999999987</v>
      </c>
      <c r="X46" s="300"/>
      <c r="Y46" s="145"/>
    </row>
    <row r="47" spans="1:25" x14ac:dyDescent="0.25">
      <c r="A47" s="2" t="s">
        <v>6</v>
      </c>
      <c r="B47" s="6">
        <v>280</v>
      </c>
      <c r="C47" s="6">
        <v>280</v>
      </c>
      <c r="D47" s="6">
        <v>310</v>
      </c>
      <c r="E47" s="6">
        <v>290</v>
      </c>
      <c r="F47" s="6">
        <v>290</v>
      </c>
      <c r="G47" s="5">
        <f>(C47+E47+F47)/3</f>
        <v>286.66666666666669</v>
      </c>
      <c r="H47" s="15">
        <f>21.03/2</f>
        <v>10.515000000000001</v>
      </c>
      <c r="I47" s="130">
        <v>78.599999999999994</v>
      </c>
      <c r="J47" s="131">
        <v>74.399999999999991</v>
      </c>
      <c r="K47" s="131">
        <v>22.8</v>
      </c>
      <c r="L47" s="131">
        <v>29.4</v>
      </c>
      <c r="M47" s="131">
        <v>22.26</v>
      </c>
      <c r="N47" s="138">
        <f t="shared" si="0"/>
        <v>45.492000000000004</v>
      </c>
      <c r="O47" s="36">
        <f t="shared" si="1"/>
        <v>22008</v>
      </c>
      <c r="P47" s="36">
        <f t="shared" si="2"/>
        <v>20831.999999999996</v>
      </c>
      <c r="Q47" s="36">
        <f t="shared" si="3"/>
        <v>7068</v>
      </c>
      <c r="R47" s="36">
        <f t="shared" si="4"/>
        <v>8526</v>
      </c>
      <c r="S47" s="36">
        <f>M47*F47</f>
        <v>6455.4000000000005</v>
      </c>
      <c r="T47" s="9">
        <f t="shared" si="6"/>
        <v>12142</v>
      </c>
      <c r="U47" s="303">
        <f t="shared" si="7"/>
        <v>7349.8</v>
      </c>
      <c r="V47" s="303">
        <f t="shared" si="8"/>
        <v>12142</v>
      </c>
      <c r="X47" s="300"/>
      <c r="Y47" s="145"/>
    </row>
    <row r="48" spans="1:25" x14ac:dyDescent="0.25">
      <c r="A48" s="2" t="s">
        <v>7</v>
      </c>
      <c r="B48" s="6">
        <v>308.85000000000002</v>
      </c>
      <c r="C48" s="6">
        <v>486.06</v>
      </c>
      <c r="D48" s="6">
        <v>336.92</v>
      </c>
      <c r="E48" s="6">
        <v>448.2</v>
      </c>
      <c r="F48" s="6">
        <v>491.28</v>
      </c>
      <c r="G48" s="5">
        <f>(C48+D48+E48)/3</f>
        <v>423.72666666666669</v>
      </c>
      <c r="H48" s="15">
        <f>28.52/2</f>
        <v>14.26</v>
      </c>
      <c r="I48" s="130">
        <v>78.599999999999994</v>
      </c>
      <c r="J48" s="131">
        <v>74.399999999999991</v>
      </c>
      <c r="K48" s="131">
        <v>22.8</v>
      </c>
      <c r="L48" s="131">
        <v>29.4</v>
      </c>
      <c r="M48" s="131">
        <v>22.26</v>
      </c>
      <c r="N48" s="138">
        <f t="shared" si="0"/>
        <v>45.492000000000004</v>
      </c>
      <c r="O48" s="36">
        <f t="shared" si="1"/>
        <v>24275.61</v>
      </c>
      <c r="P48" s="36">
        <f t="shared" si="2"/>
        <v>36162.863999999994</v>
      </c>
      <c r="Q48" s="36">
        <f t="shared" si="3"/>
        <v>7681.7760000000007</v>
      </c>
      <c r="R48" s="36">
        <f t="shared" si="4"/>
        <v>13177.08</v>
      </c>
      <c r="S48" s="36">
        <f t="shared" si="5"/>
        <v>10935.8928</v>
      </c>
      <c r="T48" s="9">
        <f t="shared" si="6"/>
        <v>16129.527600000003</v>
      </c>
      <c r="U48" s="303">
        <f t="shared" si="7"/>
        <v>10598.249600000001</v>
      </c>
      <c r="V48" s="303">
        <f t="shared" si="8"/>
        <v>16129.527600000003</v>
      </c>
      <c r="X48" s="300"/>
      <c r="Y48" s="145"/>
    </row>
    <row r="49" spans="1:30" x14ac:dyDescent="0.25">
      <c r="A49" s="2" t="s">
        <v>262</v>
      </c>
      <c r="B49" s="11">
        <v>531.67999999999995</v>
      </c>
      <c r="C49" s="11">
        <v>551.09</v>
      </c>
      <c r="D49" s="6">
        <v>488.67</v>
      </c>
      <c r="E49" s="6">
        <v>520</v>
      </c>
      <c r="F49" s="6">
        <v>610</v>
      </c>
      <c r="G49" s="5">
        <f>(B49+C49+E49)/3</f>
        <v>534.25666666666666</v>
      </c>
      <c r="H49" s="15">
        <f>113.32/2</f>
        <v>56.66</v>
      </c>
      <c r="I49" s="130">
        <v>39.119999999999997</v>
      </c>
      <c r="J49" s="131">
        <v>37.199999999999996</v>
      </c>
      <c r="K49" s="131">
        <v>52.02</v>
      </c>
      <c r="L49" s="131">
        <v>51.959999999999994</v>
      </c>
      <c r="M49" s="131">
        <v>50.34</v>
      </c>
      <c r="N49" s="138">
        <f t="shared" si="0"/>
        <v>46.128</v>
      </c>
      <c r="O49" s="36">
        <f t="shared" si="1"/>
        <v>20799.321599999996</v>
      </c>
      <c r="P49" s="36">
        <f t="shared" si="2"/>
        <v>20500.547999999999</v>
      </c>
      <c r="Q49" s="36">
        <f t="shared" si="3"/>
        <v>25420.613400000002</v>
      </c>
      <c r="R49" s="36">
        <f t="shared" si="4"/>
        <v>27019.199999999997</v>
      </c>
      <c r="S49" s="36">
        <f t="shared" si="5"/>
        <v>30707.4</v>
      </c>
      <c r="T49" s="9">
        <f t="shared" si="6"/>
        <v>24413.044999999995</v>
      </c>
      <c r="U49" s="303">
        <f t="shared" si="7"/>
        <v>27715.737800000003</v>
      </c>
      <c r="V49" s="303">
        <f t="shared" si="8"/>
        <v>24413.044999999995</v>
      </c>
      <c r="X49" s="300"/>
      <c r="Y49" s="145"/>
    </row>
    <row r="50" spans="1:30" x14ac:dyDescent="0.25">
      <c r="A50" s="2" t="s">
        <v>263</v>
      </c>
      <c r="B50" s="11">
        <v>74.86</v>
      </c>
      <c r="C50" s="11">
        <v>84.56</v>
      </c>
      <c r="D50" s="6">
        <v>72.819999999999993</v>
      </c>
      <c r="E50" s="6">
        <v>102.7</v>
      </c>
      <c r="F50" s="6">
        <v>74.16</v>
      </c>
      <c r="G50" s="5">
        <f>(C50+D50+E50)/3</f>
        <v>86.693333333333328</v>
      </c>
      <c r="H50" s="15">
        <f>10.96/2</f>
        <v>5.48</v>
      </c>
      <c r="I50" s="308">
        <v>105</v>
      </c>
      <c r="J50" s="309">
        <v>105</v>
      </c>
      <c r="K50" s="309">
        <v>105</v>
      </c>
      <c r="L50" s="309">
        <v>105</v>
      </c>
      <c r="M50" s="309">
        <v>105</v>
      </c>
      <c r="N50" s="138">
        <f t="shared" si="0"/>
        <v>105</v>
      </c>
      <c r="O50" s="36">
        <f t="shared" si="1"/>
        <v>7860.3</v>
      </c>
      <c r="P50" s="36">
        <f t="shared" si="2"/>
        <v>8878.8000000000011</v>
      </c>
      <c r="Q50" s="36">
        <f t="shared" si="3"/>
        <v>7646.0999999999995</v>
      </c>
      <c r="R50" s="36">
        <f t="shared" si="4"/>
        <v>10783.5</v>
      </c>
      <c r="S50" s="36">
        <f t="shared" si="5"/>
        <v>7786.7999999999993</v>
      </c>
      <c r="T50" s="9">
        <f t="shared" si="6"/>
        <v>8175.3</v>
      </c>
      <c r="U50" s="303">
        <f t="shared" si="7"/>
        <v>8738.7999999999993</v>
      </c>
      <c r="V50" s="303">
        <f t="shared" si="8"/>
        <v>8175.3</v>
      </c>
      <c r="X50" s="300"/>
      <c r="Y50" s="145" t="s">
        <v>266</v>
      </c>
      <c r="Z50" s="130">
        <v>13.632</v>
      </c>
      <c r="AA50" s="131">
        <v>19.584</v>
      </c>
      <c r="AB50" s="131">
        <v>23.568000000000001</v>
      </c>
      <c r="AC50" s="131">
        <v>25.823999999999998</v>
      </c>
      <c r="AD50" s="131">
        <v>16.176000000000002</v>
      </c>
    </row>
    <row r="51" spans="1:30" x14ac:dyDescent="0.25">
      <c r="A51" s="2" t="s">
        <v>264</v>
      </c>
      <c r="B51" s="11">
        <v>1025.04</v>
      </c>
      <c r="C51" s="11">
        <v>1080.3399999999999</v>
      </c>
      <c r="D51" s="6">
        <v>1099.02</v>
      </c>
      <c r="E51" s="6">
        <v>1084.24</v>
      </c>
      <c r="F51" s="6">
        <v>1205.1199999999999</v>
      </c>
      <c r="G51" s="5">
        <f>(C51+D51+E51)/3</f>
        <v>1087.8666666666666</v>
      </c>
      <c r="H51" s="15">
        <f>113.32/2</f>
        <v>56.66</v>
      </c>
      <c r="I51" s="130">
        <v>17.04</v>
      </c>
      <c r="J51" s="131">
        <v>24.479999999999997</v>
      </c>
      <c r="K51" s="131">
        <v>29.46</v>
      </c>
      <c r="L51" s="131">
        <v>32.279999999999994</v>
      </c>
      <c r="M51" s="131">
        <v>20.220000000000002</v>
      </c>
      <c r="N51" s="138">
        <f t="shared" si="0"/>
        <v>24.695999999999998</v>
      </c>
      <c r="O51" s="36">
        <f t="shared" si="1"/>
        <v>17466.6816</v>
      </c>
      <c r="P51" s="36">
        <f t="shared" si="2"/>
        <v>26446.723199999993</v>
      </c>
      <c r="Q51" s="36">
        <f t="shared" si="3"/>
        <v>32377.129199999999</v>
      </c>
      <c r="R51" s="36">
        <f t="shared" si="4"/>
        <v>34999.267199999995</v>
      </c>
      <c r="S51" s="36">
        <f t="shared" si="5"/>
        <v>24367.526400000002</v>
      </c>
      <c r="T51" s="9">
        <f t="shared" si="6"/>
        <v>27730.459600000002</v>
      </c>
      <c r="U51" s="303">
        <f t="shared" si="7"/>
        <v>30581.3076</v>
      </c>
      <c r="V51" s="303">
        <f t="shared" si="8"/>
        <v>27730.459600000002</v>
      </c>
      <c r="X51" s="300"/>
      <c r="Y51" s="145"/>
    </row>
    <row r="52" spans="1:30" x14ac:dyDescent="0.25">
      <c r="A52" s="2" t="s">
        <v>265</v>
      </c>
      <c r="B52" s="6">
        <v>140.82</v>
      </c>
      <c r="C52" s="6">
        <v>144.41</v>
      </c>
      <c r="D52" s="6">
        <v>150.24</v>
      </c>
      <c r="E52" s="6">
        <v>120</v>
      </c>
      <c r="F52" s="6">
        <v>178.78</v>
      </c>
      <c r="G52" s="5">
        <f>(B52+C52+D52)/3</f>
        <v>145.15666666666667</v>
      </c>
      <c r="H52" s="15">
        <f>10.96/2</f>
        <v>5.48</v>
      </c>
      <c r="I52" s="308">
        <v>42</v>
      </c>
      <c r="J52" s="309">
        <v>42</v>
      </c>
      <c r="K52" s="309">
        <v>42</v>
      </c>
      <c r="L52" s="309">
        <v>42</v>
      </c>
      <c r="M52" s="309">
        <v>42</v>
      </c>
      <c r="N52" s="138">
        <f t="shared" si="0"/>
        <v>42</v>
      </c>
      <c r="O52" s="36">
        <f t="shared" si="1"/>
        <v>5914.44</v>
      </c>
      <c r="P52" s="36">
        <f t="shared" si="2"/>
        <v>6065.22</v>
      </c>
      <c r="Q52" s="36">
        <f t="shared" si="3"/>
        <v>6310.08</v>
      </c>
      <c r="R52" s="36">
        <f t="shared" si="4"/>
        <v>5040</v>
      </c>
      <c r="S52" s="36">
        <f t="shared" si="5"/>
        <v>7508.76</v>
      </c>
      <c r="T52" s="9">
        <f t="shared" si="6"/>
        <v>6096.579999999999</v>
      </c>
      <c r="U52" s="303">
        <f t="shared" si="7"/>
        <v>6286.28</v>
      </c>
      <c r="V52" s="303">
        <f t="shared" si="8"/>
        <v>6096.579999999999</v>
      </c>
      <c r="X52" s="300"/>
      <c r="Y52" s="145" t="s">
        <v>266</v>
      </c>
      <c r="Z52" s="130">
        <v>13.632</v>
      </c>
      <c r="AA52" s="131">
        <v>19.584</v>
      </c>
      <c r="AB52" s="131">
        <v>23.568000000000001</v>
      </c>
      <c r="AC52" s="131">
        <v>25.823999999999998</v>
      </c>
      <c r="AD52" s="131">
        <v>16.176000000000002</v>
      </c>
    </row>
    <row r="53" spans="1:30" x14ac:dyDescent="0.25">
      <c r="A53" s="2" t="s">
        <v>8</v>
      </c>
      <c r="B53" s="6">
        <v>570</v>
      </c>
      <c r="C53" s="6">
        <v>570</v>
      </c>
      <c r="D53" s="6">
        <v>620</v>
      </c>
      <c r="E53" s="6">
        <v>620</v>
      </c>
      <c r="F53" s="6">
        <v>700</v>
      </c>
      <c r="G53" s="5">
        <f>(C53+D53+E53)/3</f>
        <v>603.33333333333337</v>
      </c>
      <c r="H53" s="15">
        <f>137.01/2</f>
        <v>68.504999999999995</v>
      </c>
      <c r="I53" s="130">
        <v>27.95</v>
      </c>
      <c r="J53" s="131">
        <v>25.5</v>
      </c>
      <c r="K53" s="131">
        <v>19.350000000000001</v>
      </c>
      <c r="L53" s="131">
        <v>23.25</v>
      </c>
      <c r="M53" s="131">
        <v>25.8</v>
      </c>
      <c r="N53" s="138">
        <f t="shared" si="0"/>
        <v>24.37</v>
      </c>
      <c r="O53" s="36">
        <f t="shared" si="1"/>
        <v>15931.5</v>
      </c>
      <c r="P53" s="36">
        <f t="shared" si="2"/>
        <v>14535</v>
      </c>
      <c r="Q53" s="36">
        <f t="shared" si="3"/>
        <v>11997</v>
      </c>
      <c r="R53" s="36">
        <f t="shared" si="4"/>
        <v>14415</v>
      </c>
      <c r="S53" s="36">
        <f t="shared" si="5"/>
        <v>18060</v>
      </c>
      <c r="T53" s="9">
        <f t="shared" si="6"/>
        <v>14960.5</v>
      </c>
      <c r="U53" s="303">
        <f t="shared" si="7"/>
        <v>14824</v>
      </c>
      <c r="V53" s="303">
        <f t="shared" si="8"/>
        <v>14960.5</v>
      </c>
      <c r="X53" s="300"/>
    </row>
    <row r="54" spans="1:30" x14ac:dyDescent="0.25">
      <c r="A54" s="2" t="s">
        <v>63</v>
      </c>
      <c r="B54" s="6">
        <v>1074.02</v>
      </c>
      <c r="C54" s="6">
        <v>1460.66</v>
      </c>
      <c r="D54" s="6">
        <v>1344.32</v>
      </c>
      <c r="E54" s="6">
        <v>1434.2</v>
      </c>
      <c r="F54" s="6">
        <v>1442.72</v>
      </c>
      <c r="G54" s="5">
        <f>(D54+E54+F54)/3</f>
        <v>1407.08</v>
      </c>
      <c r="H54" s="15">
        <f>333.52/2</f>
        <v>166.76</v>
      </c>
      <c r="I54" s="130">
        <v>28.5</v>
      </c>
      <c r="J54" s="131">
        <v>19.100000000000001</v>
      </c>
      <c r="K54" s="131">
        <v>18.45</v>
      </c>
      <c r="L54" s="131">
        <v>17.649999999999999</v>
      </c>
      <c r="M54" s="131">
        <v>22.8</v>
      </c>
      <c r="N54" s="138">
        <f t="shared" si="0"/>
        <v>21.299999999999997</v>
      </c>
      <c r="O54" s="36">
        <f t="shared" si="1"/>
        <v>30609.57</v>
      </c>
      <c r="P54" s="36">
        <f t="shared" si="2"/>
        <v>27898.606000000003</v>
      </c>
      <c r="Q54" s="36">
        <f t="shared" si="3"/>
        <v>24802.703999999998</v>
      </c>
      <c r="R54" s="36">
        <f t="shared" si="4"/>
        <v>25313.629999999997</v>
      </c>
      <c r="S54" s="36">
        <f t="shared" si="5"/>
        <v>32894.016000000003</v>
      </c>
      <c r="T54" s="9">
        <f t="shared" si="6"/>
        <v>27940.602000000003</v>
      </c>
      <c r="U54" s="303">
        <f t="shared" si="7"/>
        <v>27670.116666666669</v>
      </c>
      <c r="V54" s="303">
        <f t="shared" si="8"/>
        <v>27940.602000000003</v>
      </c>
      <c r="X54" s="300"/>
    </row>
    <row r="55" spans="1:30" x14ac:dyDescent="0.25">
      <c r="A55" s="2" t="s">
        <v>64</v>
      </c>
      <c r="B55" s="6">
        <v>1056.04</v>
      </c>
      <c r="C55" s="6">
        <v>1230.96</v>
      </c>
      <c r="D55" s="6">
        <v>1333.78</v>
      </c>
      <c r="E55" s="6">
        <v>1311.08</v>
      </c>
      <c r="F55" s="6">
        <v>1764.08</v>
      </c>
      <c r="G55" s="5">
        <f>(C55+D55+E55)/3</f>
        <v>1291.9399999999998</v>
      </c>
      <c r="H55" s="15">
        <f>224.54/2</f>
        <v>112.27</v>
      </c>
      <c r="I55" s="130">
        <v>37.90005</v>
      </c>
      <c r="J55" s="131">
        <v>37.799999999999997</v>
      </c>
      <c r="K55" s="131">
        <v>32.549999999999997</v>
      </c>
      <c r="L55" s="131">
        <v>37.9</v>
      </c>
      <c r="M55" s="131">
        <v>32.049999999999997</v>
      </c>
      <c r="N55" s="138">
        <f t="shared" si="0"/>
        <v>35.640009999999997</v>
      </c>
      <c r="O55" s="36">
        <f t="shared" si="1"/>
        <v>40023.968801999996</v>
      </c>
      <c r="P55" s="36">
        <f t="shared" si="2"/>
        <v>46530.288</v>
      </c>
      <c r="Q55" s="36">
        <f t="shared" si="3"/>
        <v>43414.538999999997</v>
      </c>
      <c r="R55" s="36">
        <f t="shared" si="4"/>
        <v>49689.931999999993</v>
      </c>
      <c r="S55" s="36">
        <f t="shared" si="5"/>
        <v>56538.763999999996</v>
      </c>
      <c r="T55" s="9">
        <f t="shared" si="6"/>
        <v>46544.919666666661</v>
      </c>
      <c r="U55" s="303">
        <f t="shared" si="7"/>
        <v>49881.078333333331</v>
      </c>
      <c r="V55" s="303">
        <f t="shared" si="8"/>
        <v>46544.919666666661</v>
      </c>
      <c r="X55" s="300"/>
    </row>
    <row r="56" spans="1:30" x14ac:dyDescent="0.25">
      <c r="A56" s="2" t="s">
        <v>65</v>
      </c>
      <c r="B56" s="6">
        <v>905.5</v>
      </c>
      <c r="C56" s="6">
        <v>1064</v>
      </c>
      <c r="D56" s="6">
        <v>590</v>
      </c>
      <c r="E56" s="6">
        <v>930</v>
      </c>
      <c r="F56" s="6">
        <v>1038</v>
      </c>
      <c r="G56" s="5">
        <f>(B56+C56+E56)/3</f>
        <v>966.5</v>
      </c>
      <c r="H56" s="15">
        <f>191.92/2</f>
        <v>95.96</v>
      </c>
      <c r="I56" s="130">
        <v>22.62</v>
      </c>
      <c r="J56" s="131">
        <v>24.12</v>
      </c>
      <c r="K56" s="131">
        <v>21.599999999999998</v>
      </c>
      <c r="L56" s="131">
        <v>21.9</v>
      </c>
      <c r="M56" s="131">
        <v>20.34</v>
      </c>
      <c r="N56" s="138">
        <f t="shared" si="0"/>
        <v>22.116000000000003</v>
      </c>
      <c r="O56" s="36">
        <f t="shared" si="1"/>
        <v>20482.41</v>
      </c>
      <c r="P56" s="36">
        <f t="shared" si="2"/>
        <v>25663.68</v>
      </c>
      <c r="Q56" s="36">
        <f t="shared" si="3"/>
        <v>12743.999999999998</v>
      </c>
      <c r="R56" s="36">
        <f t="shared" si="4"/>
        <v>20367</v>
      </c>
      <c r="S56" s="36">
        <f t="shared" si="5"/>
        <v>21112.92</v>
      </c>
      <c r="T56" s="9">
        <f t="shared" si="6"/>
        <v>20654.109999999997</v>
      </c>
      <c r="U56" s="303">
        <f t="shared" si="7"/>
        <v>18074.64</v>
      </c>
      <c r="V56" s="303">
        <f t="shared" si="8"/>
        <v>20654.109999999997</v>
      </c>
      <c r="X56" s="300"/>
    </row>
    <row r="57" spans="1:30" x14ac:dyDescent="0.25">
      <c r="A57" s="2" t="s">
        <v>9</v>
      </c>
      <c r="B57" s="6">
        <v>1000</v>
      </c>
      <c r="C57" s="6">
        <v>1000</v>
      </c>
      <c r="D57" s="6">
        <v>1000</v>
      </c>
      <c r="E57" s="6">
        <v>1000</v>
      </c>
      <c r="F57" s="6">
        <v>1000</v>
      </c>
      <c r="G57" s="5">
        <f>(C57+D57+E57)/3</f>
        <v>1000</v>
      </c>
      <c r="H57" s="15">
        <f>137.01/2</f>
        <v>68.504999999999995</v>
      </c>
      <c r="I57" s="130">
        <v>82</v>
      </c>
      <c r="J57" s="131">
        <v>82</v>
      </c>
      <c r="K57" s="131">
        <v>82</v>
      </c>
      <c r="L57" s="131">
        <v>82</v>
      </c>
      <c r="M57" s="131">
        <v>82</v>
      </c>
      <c r="N57" s="138">
        <f t="shared" si="0"/>
        <v>82</v>
      </c>
      <c r="O57" s="36">
        <f t="shared" si="1"/>
        <v>82000</v>
      </c>
      <c r="P57" s="36">
        <f t="shared" si="2"/>
        <v>82000</v>
      </c>
      <c r="Q57" s="36">
        <f t="shared" si="3"/>
        <v>82000</v>
      </c>
      <c r="R57" s="36">
        <f t="shared" si="4"/>
        <v>82000</v>
      </c>
      <c r="S57" s="36">
        <f t="shared" si="5"/>
        <v>82000</v>
      </c>
      <c r="T57" s="9">
        <f t="shared" si="6"/>
        <v>82000</v>
      </c>
      <c r="U57" s="303">
        <f t="shared" si="7"/>
        <v>82000</v>
      </c>
      <c r="V57" s="303">
        <f t="shared" si="8"/>
        <v>82000</v>
      </c>
      <c r="X57" s="300"/>
    </row>
    <row r="58" spans="1:30" x14ac:dyDescent="0.25">
      <c r="A58" s="2" t="s">
        <v>76</v>
      </c>
      <c r="B58" s="6">
        <v>568.67999999999995</v>
      </c>
      <c r="C58" s="6">
        <v>511.09</v>
      </c>
      <c r="D58" s="6">
        <v>377.21</v>
      </c>
      <c r="E58" s="6">
        <v>496.73</v>
      </c>
      <c r="F58" s="6">
        <v>528.44000000000005</v>
      </c>
      <c r="G58" s="5">
        <f>(C58+E58+F58)/3</f>
        <v>512.0866666666667</v>
      </c>
      <c r="H58" s="15">
        <f>111.3/2</f>
        <v>55.65</v>
      </c>
      <c r="I58" s="130">
        <v>62.34</v>
      </c>
      <c r="J58" s="131">
        <v>63</v>
      </c>
      <c r="K58" s="131">
        <v>54.72</v>
      </c>
      <c r="L58" s="131">
        <v>58.559999999999995</v>
      </c>
      <c r="M58" s="131">
        <v>59.879999999999995</v>
      </c>
      <c r="N58" s="138">
        <f t="shared" si="0"/>
        <v>59.7</v>
      </c>
      <c r="O58" s="36">
        <f t="shared" si="1"/>
        <v>35451.511200000001</v>
      </c>
      <c r="P58" s="36">
        <f t="shared" si="2"/>
        <v>32198.67</v>
      </c>
      <c r="Q58" s="36">
        <f t="shared" si="3"/>
        <v>20640.931199999999</v>
      </c>
      <c r="R58" s="36">
        <f t="shared" si="4"/>
        <v>29088.5088</v>
      </c>
      <c r="S58" s="36">
        <f t="shared" si="5"/>
        <v>31642.9872</v>
      </c>
      <c r="T58" s="9">
        <f t="shared" si="6"/>
        <v>30976.721999999991</v>
      </c>
      <c r="U58" s="303">
        <f t="shared" si="7"/>
        <v>27124.142400000001</v>
      </c>
      <c r="V58" s="303">
        <f t="shared" si="8"/>
        <v>30976.721999999991</v>
      </c>
      <c r="X58" s="300"/>
    </row>
    <row r="59" spans="1:30" x14ac:dyDescent="0.25">
      <c r="A59" s="2" t="s">
        <v>77</v>
      </c>
      <c r="B59" s="6">
        <v>568.67999999999995</v>
      </c>
      <c r="C59" s="6">
        <v>511.09</v>
      </c>
      <c r="D59" s="6">
        <v>377.21</v>
      </c>
      <c r="E59" s="6">
        <v>496.73</v>
      </c>
      <c r="F59" s="6">
        <v>528.44000000000005</v>
      </c>
      <c r="G59" s="5">
        <f>(C59+E59+F59)/3</f>
        <v>512.0866666666667</v>
      </c>
      <c r="H59" s="15">
        <v>0</v>
      </c>
      <c r="I59" s="130">
        <v>49.872000000000007</v>
      </c>
      <c r="J59" s="131">
        <v>50.400000000000006</v>
      </c>
      <c r="K59" s="131">
        <v>43.776000000000003</v>
      </c>
      <c r="L59" s="131">
        <v>46.847999999999999</v>
      </c>
      <c r="M59" s="131">
        <v>47.903999999999996</v>
      </c>
      <c r="N59" s="138">
        <f t="shared" si="0"/>
        <v>47.760000000000005</v>
      </c>
      <c r="O59" s="36">
        <f t="shared" si="1"/>
        <v>28361.20896</v>
      </c>
      <c r="P59" s="36">
        <f t="shared" si="2"/>
        <v>25758.936000000002</v>
      </c>
      <c r="Q59" s="36">
        <f t="shared" si="3"/>
        <v>16512.74496</v>
      </c>
      <c r="R59" s="36">
        <f t="shared" si="4"/>
        <v>23270.80704</v>
      </c>
      <c r="S59" s="36">
        <f t="shared" si="5"/>
        <v>25314.389760000002</v>
      </c>
      <c r="T59" s="9">
        <f t="shared" si="6"/>
        <v>24781.377600000003</v>
      </c>
      <c r="U59" s="303">
        <f t="shared" si="7"/>
        <v>21699.313920000001</v>
      </c>
      <c r="V59" s="303">
        <f t="shared" si="8"/>
        <v>24781.377600000003</v>
      </c>
      <c r="X59" s="300"/>
    </row>
    <row r="60" spans="1:30" x14ac:dyDescent="0.25">
      <c r="A60" s="2" t="s">
        <v>66</v>
      </c>
      <c r="B60" s="6">
        <v>76.81</v>
      </c>
      <c r="C60" s="6">
        <v>71.260000000000005</v>
      </c>
      <c r="D60" s="6">
        <v>77.62</v>
      </c>
      <c r="E60" s="6">
        <v>103.22</v>
      </c>
      <c r="F60" s="6">
        <v>93.21</v>
      </c>
      <c r="G60" s="5">
        <f>(B60+D60+F60)/3</f>
        <v>82.546666666666667</v>
      </c>
      <c r="H60" s="15">
        <f>38.57/2</f>
        <v>19.285</v>
      </c>
      <c r="I60" s="130">
        <v>49.872000000000007</v>
      </c>
      <c r="J60" s="131">
        <v>50.400000000000006</v>
      </c>
      <c r="K60" s="131">
        <v>43.776000000000003</v>
      </c>
      <c r="L60" s="131">
        <v>46.847999999999999</v>
      </c>
      <c r="M60" s="131">
        <v>47.903999999999996</v>
      </c>
      <c r="N60" s="138">
        <f t="shared" si="0"/>
        <v>47.760000000000005</v>
      </c>
      <c r="O60" s="36">
        <f t="shared" si="1"/>
        <v>3830.6683200000007</v>
      </c>
      <c r="P60" s="36">
        <f t="shared" si="2"/>
        <v>3591.5040000000008</v>
      </c>
      <c r="Q60" s="36">
        <f t="shared" si="3"/>
        <v>3397.8931200000006</v>
      </c>
      <c r="R60" s="36">
        <f t="shared" si="4"/>
        <v>4835.65056</v>
      </c>
      <c r="S60" s="36">
        <f t="shared" si="5"/>
        <v>4465.1318399999991</v>
      </c>
      <c r="T60" s="9">
        <f t="shared" si="6"/>
        <v>3962.4347200000007</v>
      </c>
      <c r="U60" s="303">
        <f t="shared" si="7"/>
        <v>4232.8918400000002</v>
      </c>
      <c r="V60" s="303">
        <f t="shared" si="8"/>
        <v>3962.4347200000007</v>
      </c>
      <c r="X60" s="300"/>
    </row>
    <row r="61" spans="1:30" x14ac:dyDescent="0.25">
      <c r="A61" s="2" t="s">
        <v>67</v>
      </c>
      <c r="B61" s="6">
        <v>394.99</v>
      </c>
      <c r="C61" s="6">
        <v>315.25</v>
      </c>
      <c r="D61" s="6">
        <v>388.28</v>
      </c>
      <c r="E61" s="6">
        <v>287.52999999999997</v>
      </c>
      <c r="F61" s="6">
        <v>346.5</v>
      </c>
      <c r="G61" s="5">
        <f>(C61+D61+F61)/3</f>
        <v>350.01</v>
      </c>
      <c r="H61" s="15">
        <f>33.98/2</f>
        <v>16.989999999999998</v>
      </c>
      <c r="I61" s="130">
        <v>15</v>
      </c>
      <c r="J61" s="131">
        <v>15</v>
      </c>
      <c r="K61" s="131">
        <v>15</v>
      </c>
      <c r="L61" s="131">
        <v>15</v>
      </c>
      <c r="M61" s="131">
        <v>15</v>
      </c>
      <c r="N61" s="138">
        <f t="shared" si="0"/>
        <v>15</v>
      </c>
      <c r="O61" s="36">
        <f t="shared" si="1"/>
        <v>5924.85</v>
      </c>
      <c r="P61" s="36">
        <f t="shared" si="2"/>
        <v>4728.75</v>
      </c>
      <c r="Q61" s="36">
        <f t="shared" si="3"/>
        <v>5824.2</v>
      </c>
      <c r="R61" s="36">
        <f t="shared" si="4"/>
        <v>4312.95</v>
      </c>
      <c r="S61" s="36">
        <f t="shared" si="5"/>
        <v>5197.5</v>
      </c>
      <c r="T61" s="9">
        <f t="shared" si="6"/>
        <v>5250.15</v>
      </c>
      <c r="U61" s="303">
        <f t="shared" si="7"/>
        <v>5111.55</v>
      </c>
      <c r="V61" s="303">
        <f t="shared" si="8"/>
        <v>5250.15</v>
      </c>
      <c r="X61" s="300"/>
    </row>
    <row r="62" spans="1:30" x14ac:dyDescent="0.25">
      <c r="A62" s="2" t="s">
        <v>68</v>
      </c>
      <c r="B62" s="6">
        <v>180</v>
      </c>
      <c r="C62" s="6">
        <v>220</v>
      </c>
      <c r="D62" s="6">
        <v>260</v>
      </c>
      <c r="E62" s="6">
        <v>310</v>
      </c>
      <c r="F62" s="6">
        <v>350</v>
      </c>
      <c r="G62" s="5">
        <f>(C62+D62+E62)/3</f>
        <v>263.33333333333331</v>
      </c>
      <c r="H62" s="15">
        <f>30.24/2</f>
        <v>15.12</v>
      </c>
      <c r="I62" s="130">
        <v>165</v>
      </c>
      <c r="J62" s="131">
        <v>165</v>
      </c>
      <c r="K62" s="131">
        <v>165</v>
      </c>
      <c r="L62" s="131">
        <v>165</v>
      </c>
      <c r="M62" s="131">
        <v>165</v>
      </c>
      <c r="N62" s="138">
        <f t="shared" si="0"/>
        <v>165</v>
      </c>
      <c r="O62" s="36">
        <f t="shared" si="1"/>
        <v>29700</v>
      </c>
      <c r="P62" s="36">
        <f t="shared" si="2"/>
        <v>36300</v>
      </c>
      <c r="Q62" s="36">
        <f t="shared" si="3"/>
        <v>42900</v>
      </c>
      <c r="R62" s="36">
        <f t="shared" si="4"/>
        <v>51150</v>
      </c>
      <c r="S62" s="36">
        <f t="shared" si="5"/>
        <v>57750</v>
      </c>
      <c r="T62" s="9">
        <f t="shared" si="6"/>
        <v>43450</v>
      </c>
      <c r="U62" s="303">
        <f t="shared" si="7"/>
        <v>50600</v>
      </c>
      <c r="V62" s="303">
        <f t="shared" si="8"/>
        <v>43450</v>
      </c>
      <c r="X62" s="300"/>
    </row>
    <row r="63" spans="1:30" x14ac:dyDescent="0.25">
      <c r="A63" s="124" t="s">
        <v>211</v>
      </c>
      <c r="B63" s="125">
        <v>77</v>
      </c>
      <c r="C63" s="125">
        <v>78.540000000000006</v>
      </c>
      <c r="D63" s="125">
        <v>80.11</v>
      </c>
      <c r="E63" s="125">
        <v>81.709999999999994</v>
      </c>
      <c r="F63" s="125">
        <v>83.34</v>
      </c>
      <c r="G63" s="11">
        <v>85.01</v>
      </c>
      <c r="H63" s="127">
        <v>5.48</v>
      </c>
      <c r="I63" s="132">
        <v>70</v>
      </c>
      <c r="J63" s="133">
        <v>70</v>
      </c>
      <c r="K63" s="133">
        <v>70</v>
      </c>
      <c r="L63" s="133">
        <v>70</v>
      </c>
      <c r="M63" s="133">
        <v>70</v>
      </c>
      <c r="N63" s="138">
        <f t="shared" si="0"/>
        <v>70</v>
      </c>
      <c r="O63" s="36">
        <f t="shared" si="1"/>
        <v>5390</v>
      </c>
      <c r="P63" s="36">
        <f t="shared" si="2"/>
        <v>5497.8</v>
      </c>
      <c r="Q63" s="36">
        <f t="shared" si="3"/>
        <v>5607.7</v>
      </c>
      <c r="R63" s="36">
        <f t="shared" si="4"/>
        <v>5719.7</v>
      </c>
      <c r="S63" s="36">
        <f t="shared" si="5"/>
        <v>5833.8</v>
      </c>
      <c r="T63" s="9">
        <f t="shared" si="6"/>
        <v>5608.4000000000005</v>
      </c>
      <c r="U63" s="303">
        <f t="shared" si="7"/>
        <v>5720.4000000000005</v>
      </c>
      <c r="V63" s="303">
        <f t="shared" si="8"/>
        <v>5608.4000000000005</v>
      </c>
      <c r="X63" s="300"/>
    </row>
    <row r="64" spans="1:30" x14ac:dyDescent="0.25">
      <c r="A64" s="124" t="s">
        <v>212</v>
      </c>
      <c r="B64" s="125">
        <v>60.5</v>
      </c>
      <c r="C64" s="125">
        <v>61.71</v>
      </c>
      <c r="D64" s="125">
        <v>62.94</v>
      </c>
      <c r="E64" s="125">
        <v>64.2</v>
      </c>
      <c r="F64" s="125">
        <v>65.48</v>
      </c>
      <c r="G64" s="126">
        <v>66.790000000000006</v>
      </c>
      <c r="H64" s="127">
        <v>5.6349999999999998</v>
      </c>
      <c r="I64" s="132">
        <v>160</v>
      </c>
      <c r="J64" s="133">
        <v>160</v>
      </c>
      <c r="K64" s="133">
        <v>160</v>
      </c>
      <c r="L64" s="133">
        <v>160</v>
      </c>
      <c r="M64" s="133">
        <v>160</v>
      </c>
      <c r="N64" s="138">
        <f t="shared" si="0"/>
        <v>160</v>
      </c>
      <c r="O64" s="36">
        <f t="shared" si="1"/>
        <v>9680</v>
      </c>
      <c r="P64" s="36">
        <f t="shared" si="2"/>
        <v>9873.6</v>
      </c>
      <c r="Q64" s="36">
        <f>K64*D64</f>
        <v>10070.4</v>
      </c>
      <c r="R64" s="36">
        <f t="shared" si="4"/>
        <v>10272</v>
      </c>
      <c r="S64" s="36">
        <f t="shared" si="5"/>
        <v>10476.800000000001</v>
      </c>
      <c r="T64" s="9">
        <f t="shared" si="6"/>
        <v>10072</v>
      </c>
      <c r="U64" s="303">
        <f t="shared" si="7"/>
        <v>10273.066666666668</v>
      </c>
      <c r="V64" s="303">
        <f t="shared" si="8"/>
        <v>10072</v>
      </c>
      <c r="X64" s="300"/>
    </row>
    <row r="65" spans="1:24" ht="15.75" thickBot="1" x14ac:dyDescent="0.3">
      <c r="A65" s="113"/>
      <c r="B65" s="136"/>
      <c r="C65" s="136"/>
      <c r="D65" s="136"/>
      <c r="E65" s="136"/>
      <c r="F65" s="136"/>
      <c r="G65" s="136"/>
      <c r="H65" s="142"/>
      <c r="I65" s="141"/>
      <c r="J65" s="140"/>
      <c r="K65" s="140"/>
      <c r="L65" s="140"/>
      <c r="M65" s="140"/>
      <c r="N65" s="139" t="e">
        <f t="shared" si="0"/>
        <v>#DIV/0!</v>
      </c>
      <c r="O65" s="136"/>
      <c r="P65" s="136"/>
      <c r="Q65" s="136"/>
      <c r="R65" s="136"/>
      <c r="S65" s="136"/>
      <c r="T65" s="305">
        <f t="shared" si="6"/>
        <v>0</v>
      </c>
      <c r="U65" s="306" t="e">
        <f t="shared" si="7"/>
        <v>#DIV/0!</v>
      </c>
      <c r="V65" s="306">
        <f t="shared" si="8"/>
        <v>0</v>
      </c>
      <c r="X65" s="300"/>
    </row>
    <row r="66" spans="1:24" ht="54.75" customHeight="1" x14ac:dyDescent="0.25">
      <c r="A66" s="445" t="s">
        <v>72</v>
      </c>
      <c r="B66" s="445"/>
      <c r="C66" s="445"/>
      <c r="D66" s="445"/>
      <c r="E66" s="445"/>
      <c r="F66" s="445"/>
      <c r="G66" s="445"/>
      <c r="H66" s="445"/>
      <c r="I66" s="445"/>
      <c r="J66" s="445"/>
      <c r="K66" s="445"/>
      <c r="L66" s="445"/>
      <c r="M66" s="445"/>
      <c r="N66" s="445"/>
    </row>
    <row r="67" spans="1:24" ht="60" customHeight="1" x14ac:dyDescent="0.4">
      <c r="B67" s="447" t="s">
        <v>79</v>
      </c>
      <c r="C67" s="447"/>
      <c r="D67" s="447"/>
      <c r="E67" s="447"/>
      <c r="F67" s="447"/>
      <c r="G67" s="447"/>
      <c r="H67" s="452" t="s">
        <v>22</v>
      </c>
      <c r="I67" s="447" t="s">
        <v>78</v>
      </c>
      <c r="J67" s="447"/>
      <c r="K67" s="447"/>
      <c r="L67" s="447"/>
      <c r="M67" s="447"/>
      <c r="N67" s="447"/>
    </row>
    <row r="68" spans="1:24" ht="15.75" thickBot="1" x14ac:dyDescent="0.3">
      <c r="B68" s="149">
        <v>2019</v>
      </c>
      <c r="C68" s="149">
        <v>2020</v>
      </c>
      <c r="D68" s="149">
        <v>2021</v>
      </c>
      <c r="E68" s="149">
        <v>2022</v>
      </c>
      <c r="F68" s="149">
        <v>2023</v>
      </c>
      <c r="G68" s="149">
        <v>2024</v>
      </c>
      <c r="H68" s="453"/>
      <c r="I68" s="149">
        <v>2019</v>
      </c>
      <c r="J68" s="149">
        <v>2020</v>
      </c>
      <c r="K68" s="149">
        <v>2021</v>
      </c>
      <c r="L68" s="149">
        <v>2022</v>
      </c>
      <c r="M68" s="149">
        <v>2023</v>
      </c>
      <c r="N68" s="149">
        <v>2024</v>
      </c>
    </row>
    <row r="69" spans="1:24" s="13" customFormat="1" x14ac:dyDescent="0.25">
      <c r="A69" s="12" t="s">
        <v>70</v>
      </c>
      <c r="B69" s="18">
        <v>120</v>
      </c>
      <c r="C69" s="18">
        <v>142.5</v>
      </c>
      <c r="D69" s="18">
        <v>135</v>
      </c>
      <c r="E69" s="18">
        <v>135</v>
      </c>
      <c r="F69" s="18">
        <v>115</v>
      </c>
      <c r="G69" s="5">
        <f>(B69+D69+E69)/3</f>
        <v>130</v>
      </c>
      <c r="H69" s="19">
        <v>0</v>
      </c>
      <c r="I69" s="20">
        <v>56.3</v>
      </c>
      <c r="J69" s="20">
        <v>43.6</v>
      </c>
      <c r="K69" s="20">
        <v>72.400000000000006</v>
      </c>
      <c r="L69" s="20">
        <v>71.3</v>
      </c>
      <c r="M69" s="20">
        <v>69.599999999999994</v>
      </c>
      <c r="N69" s="22"/>
      <c r="Q69" s="145" t="s">
        <v>217</v>
      </c>
      <c r="R69" s="145">
        <v>13.157894736842104</v>
      </c>
      <c r="S69" s="145" t="s">
        <v>218</v>
      </c>
    </row>
    <row r="70" spans="1:24" x14ac:dyDescent="0.25">
      <c r="N70" s="23"/>
    </row>
    <row r="71" spans="1:24" ht="15" hidden="1" customHeight="1" x14ac:dyDescent="0.25">
      <c r="N71" s="21"/>
    </row>
    <row r="72" spans="1:24" ht="15" hidden="1" customHeight="1" x14ac:dyDescent="0.25">
      <c r="N72" s="21"/>
    </row>
    <row r="73" spans="1:24" ht="15" hidden="1" customHeight="1" x14ac:dyDescent="0.25">
      <c r="N73" s="21"/>
    </row>
    <row r="74" spans="1:24" ht="15" hidden="1" customHeight="1" x14ac:dyDescent="0.25">
      <c r="N74" s="21"/>
    </row>
    <row r="75" spans="1:24" ht="15" hidden="1" customHeight="1" x14ac:dyDescent="0.25">
      <c r="N75" s="21"/>
    </row>
    <row r="76" spans="1:24" ht="15" hidden="1" customHeight="1" x14ac:dyDescent="0.25">
      <c r="N76" s="21"/>
    </row>
    <row r="77" spans="1:24" ht="15" hidden="1" customHeight="1" x14ac:dyDescent="0.25">
      <c r="N77" s="21"/>
    </row>
    <row r="78" spans="1:24" ht="15" hidden="1" customHeight="1" x14ac:dyDescent="0.25">
      <c r="N78" s="21"/>
    </row>
    <row r="79" spans="1:24" ht="15" hidden="1" customHeight="1" x14ac:dyDescent="0.25">
      <c r="N79" s="21"/>
    </row>
    <row r="80" spans="1:24" ht="15" hidden="1" customHeight="1" x14ac:dyDescent="0.25">
      <c r="N80" s="21"/>
    </row>
    <row r="81" spans="14:14" ht="15" hidden="1" customHeight="1" x14ac:dyDescent="0.25">
      <c r="N81" s="21"/>
    </row>
    <row r="82" spans="14:14" ht="15" hidden="1" customHeight="1" x14ac:dyDescent="0.25">
      <c r="N82" s="21"/>
    </row>
    <row r="83" spans="14:14" ht="15" hidden="1" customHeight="1" x14ac:dyDescent="0.25">
      <c r="N83" s="21"/>
    </row>
    <row r="84" spans="14:14" ht="15" hidden="1" customHeight="1" x14ac:dyDescent="0.25">
      <c r="N84" s="21"/>
    </row>
    <row r="85" spans="14:14" ht="15" hidden="1" customHeight="1" x14ac:dyDescent="0.25">
      <c r="N85" s="21"/>
    </row>
    <row r="86" spans="14:14" ht="15" hidden="1" customHeight="1" x14ac:dyDescent="0.25">
      <c r="N86" s="21"/>
    </row>
    <row r="87" spans="14:14" ht="15" hidden="1" customHeight="1" x14ac:dyDescent="0.25">
      <c r="N87" s="21"/>
    </row>
    <row r="88" spans="14:14" ht="15" hidden="1" customHeight="1" x14ac:dyDescent="0.25">
      <c r="N88" s="21"/>
    </row>
    <row r="89" spans="14:14" ht="15" hidden="1" customHeight="1" x14ac:dyDescent="0.25">
      <c r="N89" s="21"/>
    </row>
    <row r="90" spans="14:14" ht="15" hidden="1" customHeight="1" x14ac:dyDescent="0.25">
      <c r="N90" s="21"/>
    </row>
    <row r="91" spans="14:14" ht="15" hidden="1" customHeight="1" x14ac:dyDescent="0.25">
      <c r="N91" s="21"/>
    </row>
    <row r="92" spans="14:14" ht="15" hidden="1" customHeight="1" x14ac:dyDescent="0.25">
      <c r="N92" s="21"/>
    </row>
    <row r="93" spans="14:14" ht="15" hidden="1" customHeight="1" x14ac:dyDescent="0.25">
      <c r="N93" s="21"/>
    </row>
    <row r="94" spans="14:14" ht="15" hidden="1" customHeight="1" x14ac:dyDescent="0.25">
      <c r="N94" s="21"/>
    </row>
    <row r="95" spans="14:14" ht="15" hidden="1" customHeight="1" x14ac:dyDescent="0.25">
      <c r="N95" s="21"/>
    </row>
    <row r="96" spans="14:14" ht="15" hidden="1" customHeight="1" x14ac:dyDescent="0.25">
      <c r="N96" s="21"/>
    </row>
    <row r="97" spans="14:14" ht="15" hidden="1" customHeight="1" x14ac:dyDescent="0.25">
      <c r="N97" s="21"/>
    </row>
    <row r="98" spans="14:14" ht="15" hidden="1" customHeight="1" x14ac:dyDescent="0.25">
      <c r="N98" s="21"/>
    </row>
    <row r="99" spans="14:14" ht="15" hidden="1" customHeight="1" x14ac:dyDescent="0.25">
      <c r="N99" s="21"/>
    </row>
    <row r="100" spans="14:14" ht="15" hidden="1" customHeight="1" x14ac:dyDescent="0.25">
      <c r="N100" s="21"/>
    </row>
    <row r="101" spans="14:14" ht="15" hidden="1" customHeight="1" x14ac:dyDescent="0.25">
      <c r="N101" s="21"/>
    </row>
    <row r="102" spans="14:14" ht="15" hidden="1" customHeight="1" x14ac:dyDescent="0.25">
      <c r="N102" s="21"/>
    </row>
    <row r="103" spans="14:14" ht="15" hidden="1" customHeight="1" x14ac:dyDescent="0.25">
      <c r="N103" s="21"/>
    </row>
    <row r="104" spans="14:14" ht="15" hidden="1" customHeight="1" x14ac:dyDescent="0.25">
      <c r="N104" s="21"/>
    </row>
    <row r="105" spans="14:14" ht="15" hidden="1" customHeight="1" x14ac:dyDescent="0.25">
      <c r="N105" s="21"/>
    </row>
    <row r="106" spans="14:14" ht="15" hidden="1" customHeight="1" x14ac:dyDescent="0.25">
      <c r="N106" s="21"/>
    </row>
    <row r="107" spans="14:14" ht="15" hidden="1" customHeight="1" x14ac:dyDescent="0.25">
      <c r="N107" s="21"/>
    </row>
    <row r="108" spans="14:14" ht="15" hidden="1" customHeight="1" x14ac:dyDescent="0.25">
      <c r="N108" s="21"/>
    </row>
    <row r="109" spans="14:14" ht="15" hidden="1" customHeight="1" x14ac:dyDescent="0.25">
      <c r="N109" s="21"/>
    </row>
    <row r="110" spans="14:14" ht="15" hidden="1" customHeight="1" x14ac:dyDescent="0.25">
      <c r="N110" s="21"/>
    </row>
    <row r="111" spans="14:14" ht="15" hidden="1" customHeight="1" x14ac:dyDescent="0.25">
      <c r="N111" s="21"/>
    </row>
    <row r="112" spans="14:14" ht="15" hidden="1" customHeight="1" x14ac:dyDescent="0.25">
      <c r="N112" s="21"/>
    </row>
    <row r="113" spans="14:14" ht="15" hidden="1" customHeight="1" x14ac:dyDescent="0.25">
      <c r="N113" s="21"/>
    </row>
    <row r="114" spans="14:14" ht="15" hidden="1" customHeight="1" x14ac:dyDescent="0.25">
      <c r="N114" s="21"/>
    </row>
    <row r="115" spans="14:14" ht="15" hidden="1" customHeight="1" x14ac:dyDescent="0.25">
      <c r="N115" s="21"/>
    </row>
    <row r="116" spans="14:14" ht="15" hidden="1" customHeight="1" x14ac:dyDescent="0.25">
      <c r="N116" s="21"/>
    </row>
    <row r="117" spans="14:14" ht="15" hidden="1" customHeight="1" x14ac:dyDescent="0.25">
      <c r="N117" s="21"/>
    </row>
    <row r="118" spans="14:14" ht="15" hidden="1" customHeight="1" x14ac:dyDescent="0.25">
      <c r="N118" s="21"/>
    </row>
    <row r="119" spans="14:14" ht="15" hidden="1" customHeight="1" x14ac:dyDescent="0.25">
      <c r="N119" s="21"/>
    </row>
    <row r="120" spans="14:14" ht="15" hidden="1" customHeight="1" x14ac:dyDescent="0.25">
      <c r="N120" s="21"/>
    </row>
    <row r="121" spans="14:14" ht="15" hidden="1" customHeight="1" x14ac:dyDescent="0.25">
      <c r="N121" s="21"/>
    </row>
    <row r="122" spans="14:14" ht="15" hidden="1" customHeight="1" x14ac:dyDescent="0.25">
      <c r="N122" s="21"/>
    </row>
    <row r="123" spans="14:14" ht="15" hidden="1" customHeight="1" x14ac:dyDescent="0.25">
      <c r="N123" s="22"/>
    </row>
  </sheetData>
  <sheetProtection algorithmName="SHA-512" hashValue="psmjctdXQEj3TgfZuLz++zcayDs8yCQ372KnVDxuHDjR7sGfkzJ0o6nuqns2P9z87Mqx1/spud4Y8jL+tFFPSQ==" saltValue="wRPhChsFB+wo1tCGyO2bwA==" spinCount="100000" sheet="1" objects="1" scenarios="1" selectLockedCells="1"/>
  <mergeCells count="10">
    <mergeCell ref="A1:T1"/>
    <mergeCell ref="I2:N2"/>
    <mergeCell ref="I67:N67"/>
    <mergeCell ref="A66:N66"/>
    <mergeCell ref="B2:G2"/>
    <mergeCell ref="A2:A3"/>
    <mergeCell ref="H2:H3"/>
    <mergeCell ref="B67:G67"/>
    <mergeCell ref="H67:H68"/>
    <mergeCell ref="O2:V2"/>
  </mergeCells>
  <pageMargins left="0.7" right="0.7" top="0.78740157499999996" bottom="0.78740157499999996" header="0.3" footer="0.3"/>
  <pageSetup paperSize="9" orientation="portrait" r:id="rId1"/>
  <ignoredErrors>
    <ignoredError sqref="N33"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BA6C-4E29-40F8-986E-EE3AB67B2954}">
  <sheetPr codeName="Tabelle5"/>
  <dimension ref="A1:B80"/>
  <sheetViews>
    <sheetView workbookViewId="0">
      <selection activeCell="H14" sqref="H14"/>
    </sheetView>
  </sheetViews>
  <sheetFormatPr baseColWidth="10" defaultRowHeight="15" x14ac:dyDescent="0.25"/>
  <cols>
    <col min="1" max="1" width="28.7109375" customWidth="1"/>
    <col min="2" max="2" width="22.42578125" customWidth="1"/>
  </cols>
  <sheetData>
    <row r="1" spans="1:2" ht="18" x14ac:dyDescent="0.25">
      <c r="B1" s="122" t="s">
        <v>86</v>
      </c>
    </row>
    <row r="2" spans="1:2" ht="18" x14ac:dyDescent="0.25">
      <c r="A2" s="115" t="s">
        <v>88</v>
      </c>
      <c r="B2" s="123" t="s">
        <v>161</v>
      </c>
    </row>
    <row r="3" spans="1:2" ht="18" x14ac:dyDescent="0.25">
      <c r="A3" s="115" t="s">
        <v>123</v>
      </c>
      <c r="B3" s="123" t="s">
        <v>195</v>
      </c>
    </row>
    <row r="4" spans="1:2" ht="18" x14ac:dyDescent="0.25">
      <c r="A4" s="115" t="s">
        <v>124</v>
      </c>
      <c r="B4" s="123" t="s">
        <v>135</v>
      </c>
    </row>
    <row r="5" spans="1:2" ht="18" x14ac:dyDescent="0.25">
      <c r="A5" s="115" t="s">
        <v>125</v>
      </c>
      <c r="B5" s="123" t="s">
        <v>140</v>
      </c>
    </row>
    <row r="6" spans="1:2" ht="18" x14ac:dyDescent="0.25">
      <c r="A6" s="115" t="s">
        <v>126</v>
      </c>
      <c r="B6" s="123" t="s">
        <v>200</v>
      </c>
    </row>
    <row r="7" spans="1:2" ht="18" x14ac:dyDescent="0.25">
      <c r="A7" s="115" t="s">
        <v>127</v>
      </c>
      <c r="B7" s="123" t="s">
        <v>150</v>
      </c>
    </row>
    <row r="8" spans="1:2" ht="18" x14ac:dyDescent="0.25">
      <c r="A8" s="115" t="s">
        <v>128</v>
      </c>
      <c r="B8" s="123" t="s">
        <v>160</v>
      </c>
    </row>
    <row r="9" spans="1:2" ht="18" x14ac:dyDescent="0.25">
      <c r="A9" s="115" t="s">
        <v>129</v>
      </c>
      <c r="B9" s="123" t="s">
        <v>154</v>
      </c>
    </row>
    <row r="10" spans="1:2" ht="18" x14ac:dyDescent="0.25">
      <c r="A10" s="115" t="s">
        <v>130</v>
      </c>
      <c r="B10" s="123" t="s">
        <v>199</v>
      </c>
    </row>
    <row r="11" spans="1:2" ht="18" x14ac:dyDescent="0.25">
      <c r="A11" s="115" t="s">
        <v>131</v>
      </c>
      <c r="B11" s="123" t="s">
        <v>88</v>
      </c>
    </row>
    <row r="12" spans="1:2" ht="18" x14ac:dyDescent="0.25">
      <c r="A12" s="115" t="s">
        <v>132</v>
      </c>
      <c r="B12" s="123" t="s">
        <v>126</v>
      </c>
    </row>
    <row r="13" spans="1:2" ht="18" x14ac:dyDescent="0.25">
      <c r="A13" s="115" t="s">
        <v>133</v>
      </c>
      <c r="B13" s="123" t="s">
        <v>123</v>
      </c>
    </row>
    <row r="14" spans="1:2" ht="18" x14ac:dyDescent="0.25">
      <c r="A14" s="115" t="s">
        <v>134</v>
      </c>
      <c r="B14" s="123" t="s">
        <v>127</v>
      </c>
    </row>
    <row r="15" spans="1:2" ht="18" x14ac:dyDescent="0.25">
      <c r="A15" s="115" t="s">
        <v>135</v>
      </c>
      <c r="B15" s="123" t="s">
        <v>196</v>
      </c>
    </row>
    <row r="16" spans="1:2" ht="18" x14ac:dyDescent="0.25">
      <c r="A16" s="115" t="s">
        <v>136</v>
      </c>
      <c r="B16" s="123" t="s">
        <v>124</v>
      </c>
    </row>
    <row r="17" spans="1:2" ht="18" x14ac:dyDescent="0.25">
      <c r="A17" s="115" t="s">
        <v>137</v>
      </c>
      <c r="B17" s="123" t="s">
        <v>128</v>
      </c>
    </row>
    <row r="18" spans="1:2" ht="18" x14ac:dyDescent="0.25">
      <c r="A18" s="115" t="s">
        <v>138</v>
      </c>
      <c r="B18" s="123" t="s">
        <v>182</v>
      </c>
    </row>
    <row r="19" spans="1:2" ht="18" x14ac:dyDescent="0.25">
      <c r="A19" s="115" t="s">
        <v>139</v>
      </c>
      <c r="B19" s="123" t="s">
        <v>159</v>
      </c>
    </row>
    <row r="20" spans="1:2" ht="18" x14ac:dyDescent="0.25">
      <c r="A20" s="115" t="s">
        <v>140</v>
      </c>
      <c r="B20" s="123" t="s">
        <v>158</v>
      </c>
    </row>
    <row r="21" spans="1:2" ht="18" x14ac:dyDescent="0.25">
      <c r="A21" s="114" t="s">
        <v>141</v>
      </c>
      <c r="B21" s="123" t="s">
        <v>181</v>
      </c>
    </row>
    <row r="22" spans="1:2" ht="18" x14ac:dyDescent="0.25">
      <c r="A22" s="115" t="s">
        <v>142</v>
      </c>
      <c r="B22" s="123" t="s">
        <v>180</v>
      </c>
    </row>
    <row r="23" spans="1:2" ht="18" x14ac:dyDescent="0.25">
      <c r="A23" s="115" t="s">
        <v>143</v>
      </c>
      <c r="B23" s="123" t="s">
        <v>179</v>
      </c>
    </row>
    <row r="24" spans="1:2" ht="18" x14ac:dyDescent="0.25">
      <c r="A24" s="115" t="s">
        <v>144</v>
      </c>
      <c r="B24" s="123" t="s">
        <v>201</v>
      </c>
    </row>
    <row r="25" spans="1:2" ht="18" x14ac:dyDescent="0.25">
      <c r="A25" s="115" t="s">
        <v>145</v>
      </c>
      <c r="B25" s="123" t="s">
        <v>136</v>
      </c>
    </row>
    <row r="26" spans="1:2" ht="18" x14ac:dyDescent="0.25">
      <c r="A26" s="115" t="s">
        <v>146</v>
      </c>
      <c r="B26" s="123" t="s">
        <v>142</v>
      </c>
    </row>
    <row r="27" spans="1:2" ht="18" x14ac:dyDescent="0.25">
      <c r="A27" s="115" t="s">
        <v>147</v>
      </c>
      <c r="B27" s="123" t="s">
        <v>129</v>
      </c>
    </row>
    <row r="28" spans="1:2" ht="18" x14ac:dyDescent="0.25">
      <c r="A28" s="115" t="s">
        <v>148</v>
      </c>
      <c r="B28" s="123" t="s">
        <v>178</v>
      </c>
    </row>
    <row r="29" spans="1:2" ht="18" x14ac:dyDescent="0.25">
      <c r="A29" s="114" t="s">
        <v>149</v>
      </c>
      <c r="B29" s="123" t="s">
        <v>177</v>
      </c>
    </row>
    <row r="30" spans="1:2" ht="18" x14ac:dyDescent="0.25">
      <c r="A30" s="115" t="s">
        <v>150</v>
      </c>
      <c r="B30" s="123" t="s">
        <v>143</v>
      </c>
    </row>
    <row r="31" spans="1:2" ht="18" x14ac:dyDescent="0.25">
      <c r="A31" s="115" t="s">
        <v>151</v>
      </c>
      <c r="B31" s="123" t="s">
        <v>137</v>
      </c>
    </row>
    <row r="32" spans="1:2" ht="18" x14ac:dyDescent="0.25">
      <c r="A32" s="115" t="s">
        <v>152</v>
      </c>
      <c r="B32" s="123" t="s">
        <v>157</v>
      </c>
    </row>
    <row r="33" spans="1:2" ht="18" x14ac:dyDescent="0.25">
      <c r="A33" s="115" t="s">
        <v>200</v>
      </c>
      <c r="B33" s="123" t="s">
        <v>198</v>
      </c>
    </row>
    <row r="34" spans="1:2" ht="18" x14ac:dyDescent="0.25">
      <c r="A34" s="115" t="s">
        <v>199</v>
      </c>
      <c r="B34" s="123" t="s">
        <v>130</v>
      </c>
    </row>
    <row r="35" spans="1:2" ht="18" x14ac:dyDescent="0.25">
      <c r="A35" s="115" t="s">
        <v>198</v>
      </c>
      <c r="B35" s="123" t="s">
        <v>125</v>
      </c>
    </row>
    <row r="36" spans="1:2" ht="18" x14ac:dyDescent="0.25">
      <c r="A36" s="115" t="s">
        <v>197</v>
      </c>
      <c r="B36" s="123" t="s">
        <v>153</v>
      </c>
    </row>
    <row r="37" spans="1:2" ht="18" x14ac:dyDescent="0.25">
      <c r="A37" s="115" t="s">
        <v>188</v>
      </c>
      <c r="B37" s="123" t="s">
        <v>197</v>
      </c>
    </row>
    <row r="38" spans="1:2" ht="18" x14ac:dyDescent="0.25">
      <c r="A38" s="115" t="s">
        <v>189</v>
      </c>
      <c r="B38" s="123" t="s">
        <v>131</v>
      </c>
    </row>
    <row r="39" spans="1:2" ht="18" x14ac:dyDescent="0.25">
      <c r="A39" s="115" t="s">
        <v>190</v>
      </c>
      <c r="B39" s="123" t="s">
        <v>132</v>
      </c>
    </row>
    <row r="40" spans="1:2" ht="18" x14ac:dyDescent="0.25">
      <c r="A40" s="115" t="s">
        <v>191</v>
      </c>
      <c r="B40" s="123" t="s">
        <v>176</v>
      </c>
    </row>
    <row r="41" spans="1:2" ht="18" x14ac:dyDescent="0.25">
      <c r="A41" s="115" t="s">
        <v>192</v>
      </c>
      <c r="B41" s="123" t="s">
        <v>166</v>
      </c>
    </row>
    <row r="42" spans="1:2" ht="18" x14ac:dyDescent="0.25">
      <c r="A42" s="116" t="s">
        <v>193</v>
      </c>
      <c r="B42" s="123" t="s">
        <v>133</v>
      </c>
    </row>
    <row r="43" spans="1:2" ht="18" x14ac:dyDescent="0.25">
      <c r="A43" s="115" t="s">
        <v>194</v>
      </c>
      <c r="B43" s="123" t="s">
        <v>156</v>
      </c>
    </row>
    <row r="44" spans="1:2" ht="18" x14ac:dyDescent="0.25">
      <c r="A44" s="115" t="s">
        <v>195</v>
      </c>
      <c r="B44" s="123" t="s">
        <v>188</v>
      </c>
    </row>
    <row r="45" spans="1:2" ht="18" x14ac:dyDescent="0.25">
      <c r="A45" s="115" t="s">
        <v>196</v>
      </c>
      <c r="B45" s="123" t="s">
        <v>175</v>
      </c>
    </row>
    <row r="46" spans="1:2" ht="18" x14ac:dyDescent="0.25">
      <c r="A46" s="115" t="s">
        <v>187</v>
      </c>
      <c r="B46" s="123" t="s">
        <v>189</v>
      </c>
    </row>
    <row r="47" spans="1:2" ht="18" x14ac:dyDescent="0.25">
      <c r="A47" s="115" t="s">
        <v>186</v>
      </c>
      <c r="B47" s="123" t="s">
        <v>174</v>
      </c>
    </row>
    <row r="48" spans="1:2" ht="18" x14ac:dyDescent="0.25">
      <c r="A48" s="115" t="s">
        <v>185</v>
      </c>
      <c r="B48" s="123" t="s">
        <v>173</v>
      </c>
    </row>
    <row r="49" spans="1:2" ht="18" x14ac:dyDescent="0.25">
      <c r="A49" s="115" t="s">
        <v>184</v>
      </c>
      <c r="B49" s="123" t="s">
        <v>167</v>
      </c>
    </row>
    <row r="50" spans="1:2" ht="18" x14ac:dyDescent="0.25">
      <c r="A50" s="115" t="s">
        <v>183</v>
      </c>
      <c r="B50" s="123" t="s">
        <v>172</v>
      </c>
    </row>
    <row r="51" spans="1:2" ht="18" x14ac:dyDescent="0.25">
      <c r="A51" s="115" t="s">
        <v>182</v>
      </c>
      <c r="B51" s="123" t="s">
        <v>187</v>
      </c>
    </row>
    <row r="52" spans="1:2" ht="18" x14ac:dyDescent="0.25">
      <c r="A52" s="115" t="s">
        <v>181</v>
      </c>
      <c r="B52" s="123" t="s">
        <v>144</v>
      </c>
    </row>
    <row r="53" spans="1:2" ht="18" x14ac:dyDescent="0.25">
      <c r="A53" s="115" t="s">
        <v>180</v>
      </c>
      <c r="B53" s="123" t="s">
        <v>186</v>
      </c>
    </row>
    <row r="54" spans="1:2" ht="18" x14ac:dyDescent="0.25">
      <c r="A54" s="115" t="s">
        <v>179</v>
      </c>
      <c r="B54" s="123" t="s">
        <v>145</v>
      </c>
    </row>
    <row r="55" spans="1:2" ht="18" x14ac:dyDescent="0.25">
      <c r="A55" s="115" t="s">
        <v>178</v>
      </c>
      <c r="B55" s="123" t="s">
        <v>138</v>
      </c>
    </row>
    <row r="56" spans="1:2" ht="18" x14ac:dyDescent="0.25">
      <c r="A56" s="115" t="s">
        <v>177</v>
      </c>
      <c r="B56" s="123" t="s">
        <v>146</v>
      </c>
    </row>
    <row r="57" spans="1:2" ht="18" x14ac:dyDescent="0.25">
      <c r="A57" s="115" t="s">
        <v>176</v>
      </c>
      <c r="B57" s="123" t="s">
        <v>165</v>
      </c>
    </row>
    <row r="58" spans="1:2" ht="18" x14ac:dyDescent="0.25">
      <c r="A58" s="115" t="s">
        <v>175</v>
      </c>
      <c r="B58" s="123" t="s">
        <v>171</v>
      </c>
    </row>
    <row r="59" spans="1:2" ht="18" x14ac:dyDescent="0.25">
      <c r="A59" s="115" t="s">
        <v>174</v>
      </c>
      <c r="B59" s="123" t="s">
        <v>164</v>
      </c>
    </row>
    <row r="60" spans="1:2" ht="18" x14ac:dyDescent="0.25">
      <c r="A60" s="115" t="s">
        <v>173</v>
      </c>
      <c r="B60" s="123" t="s">
        <v>185</v>
      </c>
    </row>
    <row r="61" spans="1:2" ht="18" x14ac:dyDescent="0.25">
      <c r="A61" s="115" t="s">
        <v>172</v>
      </c>
      <c r="B61" s="123" t="s">
        <v>204</v>
      </c>
    </row>
    <row r="62" spans="1:2" ht="18" x14ac:dyDescent="0.25">
      <c r="A62" s="115" t="s">
        <v>171</v>
      </c>
      <c r="B62" s="123" t="s">
        <v>190</v>
      </c>
    </row>
    <row r="63" spans="1:2" ht="18" x14ac:dyDescent="0.25">
      <c r="A63" s="115" t="s">
        <v>170</v>
      </c>
      <c r="B63" s="123" t="s">
        <v>170</v>
      </c>
    </row>
    <row r="64" spans="1:2" ht="18" x14ac:dyDescent="0.25">
      <c r="A64" s="115" t="s">
        <v>169</v>
      </c>
      <c r="B64" s="123" t="s">
        <v>148</v>
      </c>
    </row>
    <row r="65" spans="1:2" ht="18" x14ac:dyDescent="0.25">
      <c r="A65" s="114" t="s">
        <v>168</v>
      </c>
      <c r="B65" s="123" t="s">
        <v>163</v>
      </c>
    </row>
    <row r="66" spans="1:2" ht="18" x14ac:dyDescent="0.25">
      <c r="A66" s="115" t="s">
        <v>167</v>
      </c>
      <c r="B66" s="123" t="s">
        <v>147</v>
      </c>
    </row>
    <row r="67" spans="1:2" ht="18" x14ac:dyDescent="0.25">
      <c r="A67" s="115" t="s">
        <v>166</v>
      </c>
      <c r="B67" s="123" t="s">
        <v>139</v>
      </c>
    </row>
    <row r="68" spans="1:2" ht="18" x14ac:dyDescent="0.25">
      <c r="A68" s="115" t="s">
        <v>165</v>
      </c>
      <c r="B68" s="123" t="s">
        <v>184</v>
      </c>
    </row>
    <row r="69" spans="1:2" ht="18" x14ac:dyDescent="0.25">
      <c r="A69" s="115" t="s">
        <v>164</v>
      </c>
      <c r="B69" s="123" t="s">
        <v>191</v>
      </c>
    </row>
    <row r="70" spans="1:2" ht="18" x14ac:dyDescent="0.25">
      <c r="A70" s="115" t="s">
        <v>163</v>
      </c>
      <c r="B70" s="123" t="s">
        <v>151</v>
      </c>
    </row>
    <row r="71" spans="1:2" ht="18" x14ac:dyDescent="0.25">
      <c r="A71" s="115" t="s">
        <v>162</v>
      </c>
      <c r="B71" s="123" t="s">
        <v>169</v>
      </c>
    </row>
    <row r="72" spans="1:2" ht="18" x14ac:dyDescent="0.25">
      <c r="A72" s="115" t="s">
        <v>161</v>
      </c>
      <c r="B72" s="123" t="s">
        <v>162</v>
      </c>
    </row>
    <row r="73" spans="1:2" ht="18" x14ac:dyDescent="0.25">
      <c r="A73" s="115" t="s">
        <v>160</v>
      </c>
      <c r="B73" s="123" t="s">
        <v>183</v>
      </c>
    </row>
    <row r="74" spans="1:2" ht="18" x14ac:dyDescent="0.25">
      <c r="A74" s="115" t="s">
        <v>159</v>
      </c>
      <c r="B74" s="123" t="s">
        <v>202</v>
      </c>
    </row>
    <row r="75" spans="1:2" ht="18" x14ac:dyDescent="0.25">
      <c r="A75" s="115" t="s">
        <v>158</v>
      </c>
      <c r="B75" s="123" t="s">
        <v>155</v>
      </c>
    </row>
    <row r="76" spans="1:2" ht="18" x14ac:dyDescent="0.25">
      <c r="A76" s="115" t="s">
        <v>157</v>
      </c>
      <c r="B76" s="123" t="s">
        <v>194</v>
      </c>
    </row>
    <row r="77" spans="1:2" ht="18" x14ac:dyDescent="0.25">
      <c r="A77" s="115" t="s">
        <v>156</v>
      </c>
      <c r="B77" s="123" t="s">
        <v>203</v>
      </c>
    </row>
    <row r="78" spans="1:2" ht="18" x14ac:dyDescent="0.25">
      <c r="A78" s="115" t="s">
        <v>155</v>
      </c>
      <c r="B78" s="123" t="s">
        <v>134</v>
      </c>
    </row>
    <row r="79" spans="1:2" ht="18" x14ac:dyDescent="0.25">
      <c r="A79" s="115" t="s">
        <v>154</v>
      </c>
      <c r="B79" s="123" t="s">
        <v>152</v>
      </c>
    </row>
    <row r="80" spans="1:2" ht="18" x14ac:dyDescent="0.25">
      <c r="A80" s="115" t="s">
        <v>153</v>
      </c>
      <c r="B80" s="123" t="s">
        <v>192</v>
      </c>
    </row>
  </sheetData>
  <sheetProtection algorithmName="SHA-512" hashValue="33U7NZnTnuZmmlvqg2MqbASEuyS8544+OM2PXH6iu82u7pQ1359CRIKcERHmJ7ERSrj69c5WLN+WLWlrZQodqQ==" saltValue="NwhuUTPdtfd7XK4Jxe77Xw==" spinCount="100000" sheet="1" objects="1" scenarios="1" selectLockedCells="1"/>
  <sortState xmlns:xlrd2="http://schemas.microsoft.com/office/spreadsheetml/2017/richdata2" ref="B2:B80">
    <sortCondition ref="B2:B80"/>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Deckblatt</vt:lpstr>
      <vt:lpstr>1) Wein-Erntemengenerhebung</vt:lpstr>
      <vt:lpstr>2) Obst-Erntemengenerhebung</vt:lpstr>
      <vt:lpstr>Hilfstabelle 1</vt:lpstr>
      <vt:lpstr>Hilfstabelle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Überreiter, Andreas (StMELF)</dc:creator>
  <cp:lastModifiedBy>Überreiter, Andreas (StMELF)</cp:lastModifiedBy>
  <cp:lastPrinted>2024-12-06T13:11:32Z</cp:lastPrinted>
  <dcterms:created xsi:type="dcterms:W3CDTF">2024-11-19T12:40:44Z</dcterms:created>
  <dcterms:modified xsi:type="dcterms:W3CDTF">2024-12-12T13:56:53Z</dcterms:modified>
</cp:coreProperties>
</file>